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210" windowWidth="14070" windowHeight="10545" tabRatio="924" activeTab="8"/>
  </bookViews>
  <sheets>
    <sheet name="toc" sheetId="1" r:id="rId1"/>
    <sheet name="arithmetic" sheetId="2" r:id="rId2"/>
    <sheet name="interests" sheetId="3" r:id="rId3"/>
    <sheet name="prealgebrea" sheetId="4" r:id="rId4"/>
    <sheet name="alg 1 poly" sheetId="5" r:id="rId5"/>
    <sheet name="alg 1 rational" sheetId="6" r:id="rId6"/>
    <sheet name="coord geo" sheetId="7" r:id="rId7"/>
    <sheet name="geometry" sheetId="8" r:id="rId8"/>
    <sheet name="solve lin quadr sys" sheetId="9" r:id="rId9"/>
    <sheet name="systems" sheetId="10" r:id="rId10"/>
    <sheet name="solve triangles" sheetId="11" r:id="rId11"/>
    <sheet name="trig geometry" sheetId="12" r:id="rId12"/>
    <sheet name="numbers" sheetId="13" r:id="rId13"/>
    <sheet name="mixture problems" sheetId="14" r:id="rId14"/>
    <sheet name="distance" sheetId="15" r:id="rId15"/>
  </sheets>
  <definedNames/>
  <calcPr fullCalcOnLoad="1"/>
</workbook>
</file>

<file path=xl/sharedStrings.xml><?xml version="1.0" encoding="utf-8"?>
<sst xmlns="http://schemas.openxmlformats.org/spreadsheetml/2006/main" count="1131" uniqueCount="504">
  <si>
    <t>1.</t>
  </si>
  <si>
    <t>x</t>
  </si>
  <si>
    <t>a</t>
  </si>
  <si>
    <t>b</t>
  </si>
  <si>
    <t>c</t>
  </si>
  <si>
    <t>A</t>
  </si>
  <si>
    <t>B</t>
  </si>
  <si>
    <t>C</t>
  </si>
  <si>
    <t>whole</t>
  </si>
  <si>
    <t>part</t>
  </si>
  <si>
    <t>percent</t>
  </si>
  <si>
    <t>Prism</t>
  </si>
  <si>
    <t>Pyramid</t>
  </si>
  <si>
    <t>Cylinder</t>
  </si>
  <si>
    <t>Cone</t>
  </si>
  <si>
    <t>(length)</t>
  </si>
  <si>
    <t>(width)</t>
  </si>
  <si>
    <t>(height)</t>
  </si>
  <si>
    <t>(radius)</t>
  </si>
  <si>
    <t>volume in cubic units</t>
  </si>
  <si>
    <t>base</t>
  </si>
  <si>
    <t>height</t>
  </si>
  <si>
    <t>area</t>
  </si>
  <si>
    <t>perimeter</t>
  </si>
  <si>
    <t>parallelogram</t>
  </si>
  <si>
    <t>triangle</t>
  </si>
  <si>
    <t>trapezoid</t>
  </si>
  <si>
    <t>first base</t>
  </si>
  <si>
    <t>other base</t>
  </si>
  <si>
    <t>radius</t>
  </si>
  <si>
    <t>circumference</t>
  </si>
  <si>
    <t>diameter</t>
  </si>
  <si>
    <t>rectangle</t>
  </si>
  <si>
    <t>volume</t>
  </si>
  <si>
    <t>formula</t>
  </si>
  <si>
    <t>right triangles w/perimeter</t>
  </si>
  <si>
    <t>is =INT(20-40*RAND()) to generate random from -20 to 20</t>
  </si>
  <si>
    <t>2.</t>
  </si>
  <si>
    <t xml:space="preserve"> (</t>
  </si>
  <si>
    <t>3.</t>
  </si>
  <si>
    <t>4.</t>
  </si>
  <si>
    <t>+</t>
  </si>
  <si>
    <t xml:space="preserve"> = </t>
  </si>
  <si>
    <t xml:space="preserve"> -</t>
  </si>
  <si>
    <t>(</t>
  </si>
  <si>
    <t>)(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</si>
  <si>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</si>
  <si>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</si>
  <si>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</si>
  <si>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</si>
  <si>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</si>
  <si>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</si>
  <si>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</si>
  <si>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</si>
  <si>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</si>
  <si>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</si>
  <si>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</si>
  <si>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</si>
  <si>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</si>
  <si>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</si>
  <si>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</si>
  <si>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</si>
  <si>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</si>
  <si>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</si>
  <si>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</si>
  <si>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</si>
  <si>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</si>
  <si>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</si>
  <si>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</si>
  <si>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</si>
  <si>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x + 3y =  4</t>
  </si>
  <si>
    <t>29.</t>
  </si>
  <si>
    <t>4x + 2y =  6   (1,1)</t>
  </si>
  <si>
    <t>30.</t>
  </si>
  <si>
    <t>31.</t>
  </si>
  <si>
    <t>Ax</t>
  </si>
  <si>
    <t>By</t>
  </si>
  <si>
    <t xml:space="preserve"> =C</t>
  </si>
  <si>
    <t>32.</t>
  </si>
  <si>
    <t>Dx</t>
  </si>
  <si>
    <t>Ey</t>
  </si>
  <si>
    <t xml:space="preserve"> =F</t>
  </si>
  <si>
    <t>x is</t>
  </si>
  <si>
    <t>y is</t>
  </si>
  <si>
    <t>33.</t>
  </si>
  <si>
    <t>34.</t>
  </si>
  <si>
    <t>35.</t>
  </si>
  <si>
    <t>36.</t>
  </si>
  <si>
    <t>37.</t>
  </si>
  <si>
    <t>38.</t>
  </si>
  <si>
    <t>random, rounded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</si>
  <si>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</si>
  <si>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</si>
  <si>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</si>
  <si>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</si>
  <si>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</si>
  <si>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</si>
  <si>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</si>
  <si>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</si>
  <si>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</si>
  <si>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</si>
  <si>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</si>
  <si>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</si>
  <si>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</si>
  <si>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</si>
  <si>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</si>
  <si>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</si>
  <si>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</si>
  <si>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</si>
  <si>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</si>
  <si>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</si>
  <si>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</si>
  <si>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</si>
  <si>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</si>
  <si>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</si>
  <si>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</si>
  <si>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</si>
  <si>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</si>
  <si>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</si>
  <si>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</si>
  <si>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</si>
  <si>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</si>
  <si>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</si>
  <si>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</si>
  <si>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</si>
  <si>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</si>
  <si>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</si>
  <si>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</si>
  <si>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</si>
  <si>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</si>
  <si>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</si>
  <si>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</si>
  <si>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</si>
  <si>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</si>
  <si>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</si>
  <si>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</si>
  <si>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</si>
  <si>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</si>
  <si>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</si>
  <si>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</si>
  <si>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</si>
  <si>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is INT(-6+12*RAND())</t>
  </si>
  <si>
    <t>sums</t>
  </si>
  <si>
    <t>)</t>
  </si>
  <si>
    <t>D</t>
  </si>
  <si>
    <t>E</t>
  </si>
  <si>
    <t>F</t>
  </si>
  <si>
    <t>G</t>
  </si>
  <si>
    <t>H</t>
  </si>
  <si>
    <t>required constants and coefficients.</t>
  </si>
  <si>
    <t>ax + b = 0</t>
  </si>
  <si>
    <t>Multiply 2 binomials.</t>
  </si>
  <si>
    <t>a is</t>
  </si>
  <si>
    <t>b is</t>
  </si>
  <si>
    <t>c is</t>
  </si>
  <si>
    <t>d is</t>
  </si>
  <si>
    <t>(ax + b)(cx+d)(ex+f) is</t>
  </si>
  <si>
    <t>x =</t>
  </si>
  <si>
    <t xml:space="preserve"> / </t>
  </si>
  <si>
    <r>
      <t>x</t>
    </r>
    <r>
      <rPr>
        <vertAlign val="superscript"/>
        <sz val="14"/>
        <rFont val="Arial"/>
        <family val="2"/>
      </rPr>
      <t>2</t>
    </r>
  </si>
  <si>
    <r>
      <t>x</t>
    </r>
    <r>
      <rPr>
        <vertAlign val="superscript"/>
        <sz val="14"/>
        <rFont val="Arial"/>
        <family val="2"/>
      </rPr>
      <t>1</t>
    </r>
  </si>
  <si>
    <r>
      <t>x</t>
    </r>
    <r>
      <rPr>
        <vertAlign val="superscript"/>
        <sz val="14"/>
        <rFont val="Arial"/>
        <family val="2"/>
      </rPr>
      <t>0</t>
    </r>
  </si>
  <si>
    <t>Multiply 3 binomials.</t>
  </si>
  <si>
    <t>e is</t>
  </si>
  <si>
    <t>f is</t>
  </si>
  <si>
    <t xml:space="preserve">x = </t>
  </si>
  <si>
    <r>
      <t>x</t>
    </r>
    <r>
      <rPr>
        <vertAlign val="superscript"/>
        <sz val="14"/>
        <rFont val="Arial"/>
        <family val="2"/>
      </rPr>
      <t>3</t>
    </r>
  </si>
  <si>
    <t>Note: #NUM! means a complex root.</t>
  </si>
  <si>
    <t>Note: To see how the formula works, visit:</t>
  </si>
  <si>
    <t>www.mathnstuff.com/math/spoken/here/2class/320/quadequ.htm</t>
  </si>
  <si>
    <t>x +</t>
  </si>
  <si>
    <t>x² +</t>
  </si>
  <si>
    <t xml:space="preserve"> )(</t>
  </si>
  <si>
    <t xml:space="preserve">) is </t>
  </si>
  <si>
    <t xml:space="preserve">  =</t>
  </si>
  <si>
    <t xml:space="preserve"> =</t>
  </si>
  <si>
    <t>x=</t>
  </si>
  <si>
    <t>0=</t>
  </si>
  <si>
    <t>then x is</t>
  </si>
  <si>
    <t>OR</t>
  </si>
  <si>
    <t>4,0</t>
  </si>
  <si>
    <t>2x</t>
  </si>
  <si>
    <t>only</t>
  </si>
  <si>
    <t>2x+2</t>
  </si>
  <si>
    <t>x+4</t>
  </si>
  <si>
    <t>2,0</t>
  </si>
  <si>
    <t xml:space="preserve">2x  </t>
  </si>
  <si>
    <t>3x+4</t>
  </si>
  <si>
    <t>2x+4</t>
  </si>
  <si>
    <t>0,-1</t>
  </si>
  <si>
    <t>1x</t>
  </si>
  <si>
    <t>3x+1</t>
  </si>
  <si>
    <t>x+2</t>
  </si>
  <si>
    <t>x+3</t>
  </si>
  <si>
    <r>
      <t>ax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+ bx + c = 0</t>
    </r>
  </si>
  <si>
    <t>) =</t>
  </si>
  <si>
    <t>)/(</t>
  </si>
  <si>
    <t>"arithmetic proportion"</t>
  </si>
  <si>
    <t>multiply 2 binomials</t>
  </si>
  <si>
    <t>random generator</t>
  </si>
  <si>
    <t>3x-1</t>
  </si>
  <si>
    <t xml:space="preserve"> -1, -4/3</t>
  </si>
  <si>
    <t>use this if a is 0!</t>
  </si>
  <si>
    <t>use this if a is not 0.</t>
  </si>
  <si>
    <t>x+8</t>
  </si>
  <si>
    <t>x+1</t>
  </si>
  <si>
    <t>6, -5</t>
  </si>
  <si>
    <t>used</t>
  </si>
  <si>
    <t>● Solve a right triangle.</t>
  </si>
  <si>
    <t>● Solve a 45-45-90 triangle.</t>
  </si>
  <si>
    <t>● Solve a 30-60-90 triangle.</t>
  </si>
  <si>
    <t>Often these may be computed mentally.</t>
  </si>
  <si>
    <t>Input leg a.</t>
  </si>
  <si>
    <t>A is</t>
  </si>
  <si>
    <t>B is</t>
  </si>
  <si>
    <t>C is</t>
  </si>
  <si>
    <t>a=c/2, a=b/√(3)</t>
  </si>
  <si>
    <t>b=a√(3), b=c√(3)/2</t>
  </si>
  <si>
    <t>c=2a, c=2b/√(3)</t>
  </si>
  <si>
    <t>Input leg a or side c.</t>
  </si>
  <si>
    <t>Input leg b.</t>
  </si>
  <si>
    <t>Input side c.</t>
  </si>
  <si>
    <t xml:space="preserve">C is </t>
  </si>
  <si>
    <t>a=b, a=c/√2, c=a√2</t>
  </si>
  <si>
    <t>● Use Pythagorean Theorem and arithmetic and basic trig.</t>
  </si>
  <si>
    <t>Input leg a and leg b.</t>
  </si>
  <si>
    <t>Input hypotenuse c and leg a.</t>
  </si>
  <si>
    <t>Input angle A and side a.</t>
  </si>
  <si>
    <t>A is =ArcSIN(a/c)*180/PI()</t>
  </si>
  <si>
    <t>A is =ArcSIN(a/c)</t>
  </si>
  <si>
    <t>B is =90-A</t>
  </si>
  <si>
    <t>B is =ArcSIN(b/c)</t>
  </si>
  <si>
    <t>C is 90.</t>
  </si>
  <si>
    <t>C is =90</t>
  </si>
  <si>
    <t>b is =a/TAN(A*PI()/180)</t>
  </si>
  <si>
    <t>c is =SQRT(a^2+b^2)</t>
  </si>
  <si>
    <t>b is =SQRT(c^2-a^2)</t>
  </si>
  <si>
    <t>● Solve any triangle.</t>
  </si>
  <si>
    <t>● Use the Sine Law,</t>
  </si>
  <si>
    <t>● If given a side and opposite angle.</t>
  </si>
  <si>
    <t>Input angles A , B, side a.</t>
  </si>
  <si>
    <t>Input angle A , side a, side b.</t>
  </si>
  <si>
    <t>bsin(A)</t>
  </si>
  <si>
    <t>no solution</t>
  </si>
  <si>
    <t xml:space="preserve"> &lt; </t>
  </si>
  <si>
    <t>if #NUM! there is no solution.</t>
  </si>
  <si>
    <t>1 solution</t>
  </si>
  <si>
    <t>C is =180-A-B</t>
  </si>
  <si>
    <t>b2 is</t>
  </si>
  <si>
    <t>B2 is</t>
  </si>
  <si>
    <t>2 solutions</t>
  </si>
  <si>
    <t>b is a*sin(B)/sin(a)</t>
  </si>
  <si>
    <t>c2 is</t>
  </si>
  <si>
    <t>C2 is</t>
  </si>
  <si>
    <t xml:space="preserve">                                                       </t>
  </si>
  <si>
    <t xml:space="preserve"> &gt;</t>
  </si>
  <si>
    <t>c is =arcsin(c*SIN(A)/a)</t>
  </si>
  <si>
    <t>B is =ArcSIN(G37*SIN(I36*PI()/180)/G36)*180/PI()</t>
  </si>
  <si>
    <t>C is 180-A-B</t>
  </si>
  <si>
    <t>c is =a*SIN(C*PI()/180)/SIN(A*PI()/180)</t>
  </si>
  <si>
    <t>b2=b1</t>
  </si>
  <si>
    <t>B2=180-B</t>
  </si>
  <si>
    <t>c2=a*SIN(C2*PI()/180)/SIN(A*PI()/180)</t>
  </si>
  <si>
    <t>● Use the Law of Cosines,</t>
  </si>
  <si>
    <t>●  If not given a side and opposite angle.</t>
  </si>
  <si>
    <t>Input sides a, b, c.</t>
  </si>
  <si>
    <t>Input angle A , sides b,c.</t>
  </si>
  <si>
    <t>b is =arcsin(b*SIN(A)/a)</t>
  </si>
  <si>
    <t>B is =arcsin(b*SIN(A)/a)</t>
  </si>
  <si>
    <t>Page</t>
  </si>
  <si>
    <t>Contents</t>
  </si>
  <si>
    <t>●</t>
  </si>
  <si>
    <t>title &amp; contents</t>
  </si>
  <si>
    <t>Look at the colored cells at the top of each sheet for the hot spots that operate the sheet.</t>
  </si>
  <si>
    <t>compute.xls</t>
  </si>
  <si>
    <t xml:space="preserve">  www.mathnstuff.com/math/xls/compute.xls</t>
  </si>
  <si>
    <t>airthmetic</t>
  </si>
  <si>
    <t>prealgebra</t>
  </si>
  <si>
    <t>alg 1, part 2</t>
  </si>
  <si>
    <t>solve lin quad</t>
  </si>
  <si>
    <t>solve triangles</t>
  </si>
  <si>
    <t>trig geometry</t>
  </si>
  <si>
    <t>numerator</t>
  </si>
  <si>
    <t>denominator</t>
  </si>
  <si>
    <t>Enter unknowns in yellow only.</t>
  </si>
  <si>
    <t xml:space="preserve">Compute perimeter and area for a </t>
  </si>
  <si>
    <t xml:space="preserve">Compute volume or base or height for a </t>
  </si>
  <si>
    <t>Prism, Pyramid, Cylinder, Cone.</t>
  </si>
  <si>
    <t>Compute radius, diameter, area for a circle.</t>
  </si>
  <si>
    <t>Insert data in the GRAY cells.  Colored cells will compute!</t>
  </si>
  <si>
    <t>geometry</t>
  </si>
  <si>
    <t>Add 2 binomials.</t>
  </si>
  <si>
    <t>(ax + b)(cx+d) is</t>
  </si>
  <si>
    <t>random number generator</t>
  </si>
  <si>
    <t>(ax + b)+(cx+d) is</t>
  </si>
  <si>
    <t>a(bx+c)+d(ex+f) is</t>
  </si>
  <si>
    <t>Distribute and combine like terms.</t>
  </si>
  <si>
    <t>rectangle, triangle, parallelogram, trapezoid.</t>
  </si>
  <si>
    <t>Solve system by Cramer's Rule</t>
  </si>
  <si>
    <t>A =</t>
  </si>
  <si>
    <t>B =</t>
  </si>
  <si>
    <t>C =</t>
  </si>
  <si>
    <t>D =</t>
  </si>
  <si>
    <t>determinant</t>
  </si>
  <si>
    <t>solution</t>
  </si>
  <si>
    <t>Hot cells. Enter system here.</t>
  </si>
  <si>
    <t>is =MDETERM(A2:D5) Determinant of the matrix</t>
  </si>
  <si>
    <t>This page.</t>
  </si>
  <si>
    <t>Computes base, rate (percent), percentage.</t>
  </si>
  <si>
    <t xml:space="preserve"> +</t>
  </si>
  <si>
    <t>(X+1)(X-1)</t>
  </si>
  <si>
    <t>X^2-1</t>
  </si>
  <si>
    <t>X^2+4X+3</t>
  </si>
  <si>
    <t>(X+1)(X+3)</t>
  </si>
  <si>
    <t>X^2+2X-3</t>
  </si>
  <si>
    <t>(X+3)(X-1)</t>
  </si>
  <si>
    <t>A(x+3)+B(x-1)=C(x+1)</t>
  </si>
  <si>
    <t>Ax +3A + Bx - B = Cx+ C</t>
  </si>
  <si>
    <t>(x+1)</t>
  </si>
  <si>
    <t>(x+1)(x+1)</t>
  </si>
  <si>
    <t>D(x+1)(x+1)+E(x)(X+1)=F(x)</t>
  </si>
  <si>
    <t>Dx^2+2Dx+d+Ex^2+Ex+Fx = 0</t>
  </si>
  <si>
    <t>(D+E)x^2 +(2D+E+F)x+D = 0</t>
  </si>
  <si>
    <t>Distribute and combine like terms GENERATOR.</t>
  </si>
  <si>
    <t>Solves a proportion, x on top or x on bottom.</t>
  </si>
  <si>
    <t>Random Signed No. Computation Drills.</t>
  </si>
  <si>
    <t>Input or Random Generate then distribute and combine like terms as in a(bx+c)+d(ex+f) is ...</t>
  </si>
  <si>
    <t>Solve System w/2 Unknowns.</t>
  </si>
  <si>
    <t>Solve System w/3 or 4 Unknowns.</t>
  </si>
  <si>
    <t>Solve a linear or quadratic equation by entering the</t>
  </si>
  <si>
    <t>Solve binomial proportions.</t>
  </si>
  <si>
    <t>Examine Prototype Solve Rational Equations</t>
  </si>
  <si>
    <t>Examine Prototype Solve Rational Equations.</t>
  </si>
  <si>
    <t>(A+B-C)x = (-3A + B + C)</t>
  </si>
  <si>
    <t>alg 1 poly</t>
  </si>
  <si>
    <t>●  Input angles A , B, side a.</t>
  </si>
  <si>
    <t>●  Input angle A , side a, side b.</t>
  </si>
  <si>
    <t>●  Input sides a, b, c.</t>
  </si>
  <si>
    <t>●  Input angle A , sides b,c.</t>
  </si>
  <si>
    <t>numbers</t>
  </si>
  <si>
    <t>numbers 1. to 90. in column form for listing questions</t>
  </si>
  <si>
    <t>coord geo</t>
  </si>
  <si>
    <t>computes distances in 1-, 2-, 3-space, and midpoint</t>
  </si>
  <si>
    <t>x1</t>
  </si>
  <si>
    <t>x2</t>
  </si>
  <si>
    <t>(x1-x2)^2</t>
  </si>
  <si>
    <t>Distance</t>
  </si>
  <si>
    <t>y1</t>
  </si>
  <si>
    <t>y2</t>
  </si>
  <si>
    <t>(y1-y2)^2</t>
  </si>
  <si>
    <t>z1</t>
  </si>
  <si>
    <t>z2</t>
  </si>
  <si>
    <t>(z1-z2)^2</t>
  </si>
  <si>
    <t xml:space="preserve"> -1,4  3,1 is 5 is length, midpoint 1,2.5</t>
  </si>
  <si>
    <t>midpoint</t>
  </si>
  <si>
    <t>(x1 +x2)/2</t>
  </si>
  <si>
    <t>(y1+y2)/2</t>
  </si>
  <si>
    <t>sqrt[(x1-x2)^2+(y1-y2)^2+(z1-z2)^2]</t>
  </si>
  <si>
    <t>distance</t>
  </si>
  <si>
    <t>DISTANCE</t>
  </si>
  <si>
    <t>MIDPOINT</t>
  </si>
  <si>
    <t>change in y</t>
  </si>
  <si>
    <t>change in x</t>
  </si>
  <si>
    <t>(y1 - y2)</t>
  </si>
  <si>
    <t>(x1 - x2)</t>
  </si>
  <si>
    <t xml:space="preserve">  --------------------------</t>
  </si>
  <si>
    <t>slope is</t>
  </si>
  <si>
    <t>(y2 - y1)</t>
  </si>
  <si>
    <t>(x2 - x1)</t>
  </si>
  <si>
    <t>computes slope both ways</t>
  </si>
  <si>
    <t>Enter data in appropriate yellow cell.</t>
  </si>
  <si>
    <t>Enter r as a decimal number.</t>
  </si>
  <si>
    <r>
      <t>P(P</t>
    </r>
    <r>
      <rPr>
        <b/>
        <vertAlign val="subscript"/>
        <sz val="20"/>
        <rFont val="Arial"/>
        <family val="2"/>
      </rPr>
      <t>0</t>
    </r>
    <r>
      <rPr>
        <b/>
        <sz val="20"/>
        <rFont val="Arial"/>
        <family val="2"/>
      </rPr>
      <t xml:space="preserve">, r, t)= </t>
    </r>
  </si>
  <si>
    <r>
      <t>P</t>
    </r>
    <r>
      <rPr>
        <b/>
        <vertAlign val="subscript"/>
        <sz val="20"/>
        <rFont val="Arial"/>
        <family val="2"/>
      </rPr>
      <t>0</t>
    </r>
  </si>
  <si>
    <t>e</t>
  </si>
  <si>
    <t>r</t>
  </si>
  <si>
    <t>t</t>
  </si>
  <si>
    <t>P</t>
  </si>
  <si>
    <r>
      <t>P</t>
    </r>
    <r>
      <rPr>
        <b/>
        <vertAlign val="subscript"/>
        <sz val="14"/>
        <rFont val="Arial"/>
        <family val="2"/>
      </rPr>
      <t>0</t>
    </r>
    <r>
      <rPr>
        <b/>
        <sz val="14"/>
        <rFont val="Arial"/>
        <family val="2"/>
      </rPr>
      <t xml:space="preserve"> </t>
    </r>
  </si>
  <si>
    <t>n</t>
  </si>
  <si>
    <t>Solve for P</t>
  </si>
  <si>
    <r>
      <t>Solve for P</t>
    </r>
    <r>
      <rPr>
        <b/>
        <vertAlign val="subscript"/>
        <sz val="14"/>
        <rFont val="Arial"/>
        <family val="2"/>
      </rPr>
      <t>0</t>
    </r>
    <r>
      <rPr>
        <b/>
        <sz val="14"/>
        <rFont val="Arial"/>
        <family val="2"/>
      </rPr>
      <t xml:space="preserve"> </t>
    </r>
  </si>
  <si>
    <t>Solve for r</t>
  </si>
  <si>
    <t>Solve for t</t>
  </si>
  <si>
    <r>
      <t>P is =C8*(1+D8/E8)^(E8*F8) is =P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*(1+r/n)^(n*t)</t>
    </r>
  </si>
  <si>
    <t>P is P0*e^(r*t) is =K8*EXP(L8*M8)</t>
  </si>
  <si>
    <r>
      <t>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is =p/(1+r/n)^n^t =B9/(1+D9/E9)^E9^F9</t>
    </r>
  </si>
  <si>
    <r>
      <t>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is P/e^(r*t) is =J9/EXP(L9*M9)</t>
    </r>
  </si>
  <si>
    <t>r is n((P/P0)^(1/(n*r))-1) is =E10*((B10/C10)^(1/(E10*F10))-1)</t>
  </si>
  <si>
    <t>r is (ln(P) - ln(P0))/t is =(LN(J10)-LN(K10))/M10</t>
  </si>
  <si>
    <t>t is (log(P) - log(P0))/(log(1+r/n)*n) is =(LOG(B12)-LOG(C12))/(LOG(1+D12/E12)*E12)</t>
  </si>
  <si>
    <t>t is (ln(P) - ln(P0))/r is =(LN(J11)-LN(K11))L11</t>
  </si>
  <si>
    <t>interests</t>
  </si>
  <si>
    <t>simple, compound, continuous</t>
  </si>
  <si>
    <r>
      <t>I(p</t>
    </r>
    <r>
      <rPr>
        <b/>
        <sz val="20"/>
        <rFont val="Arial"/>
        <family val="2"/>
      </rPr>
      <t xml:space="preserve">, r, t)= </t>
    </r>
  </si>
  <si>
    <t>R</t>
  </si>
  <si>
    <t>T</t>
  </si>
  <si>
    <t>Solve for I</t>
  </si>
  <si>
    <t>Solve for R</t>
  </si>
  <si>
    <t>Solve for T</t>
  </si>
  <si>
    <t xml:space="preserve">For purposes of simple interest, </t>
  </si>
  <si>
    <t>1 year = 360 days.</t>
  </si>
  <si>
    <t>b IS =C53*SIN(E54*PI()/180)/SIN(E53*PI()/180)</t>
  </si>
  <si>
    <t>Multiply 2 binomials by a constant.</t>
  </si>
  <si>
    <t>A(ax + b)(cx+d) is</t>
  </si>
  <si>
    <t>see below.</t>
  </si>
  <si>
    <r>
      <t>a(x-h)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+ k = 0</t>
    </r>
  </si>
  <si>
    <t>h</t>
  </si>
  <si>
    <t>k</t>
  </si>
  <si>
    <t xml:space="preserve">a </t>
  </si>
  <si>
    <t>see www.mathnstuff.com/math/spoken/here/2class/320/abchk.gif</t>
  </si>
  <si>
    <t>(stuff 1)</t>
  </si>
  <si>
    <t>($)</t>
  </si>
  <si>
    <t>(#)</t>
  </si>
  <si>
    <t>(stuff 2)</t>
  </si>
  <si>
    <t>(total stuff)</t>
  </si>
  <si>
    <t>=</t>
  </si>
  <si>
    <t xml:space="preserve"> + </t>
  </si>
  <si>
    <t>($)(#)</t>
  </si>
  <si>
    <t>(stuff 3)</t>
  </si>
  <si>
    <t>Find the integers.</t>
  </si>
  <si>
    <t>There are 3 consecutive even integers. The sum of triple the first, double the second, and four times the third is 56.</t>
  </si>
  <si>
    <t>3,4,2,6,4,8,7,8,56</t>
  </si>
  <si>
    <t>4,6,8</t>
  </si>
  <si>
    <t>5,2,10,8,9,10,90</t>
  </si>
  <si>
    <t>Ninety cents worth of ribbons are in a box containing blue and gold ribbons. The blue ribbons cost 5 cents each. The gold ribbons cost 10 cents each.</t>
  </si>
  <si>
    <t>The number of gold ribbons is 4 more than doubled the number of blue ribbons. How many gold ribbons are there?</t>
  </si>
  <si>
    <t>8 gold ribbons</t>
  </si>
  <si>
    <t>(multiplier)</t>
  </si>
  <si>
    <t>(complement)</t>
  </si>
  <si>
    <t>(supplement)</t>
  </si>
  <si>
    <t>(sum)</t>
  </si>
  <si>
    <t>When double the complemtent of an angled is added to triple the supplement of the angle the result is 470 degrees.</t>
  </si>
  <si>
    <t>Find the measure of the angle.</t>
  </si>
  <si>
    <t>50,2,40,3,130,470</t>
  </si>
  <si>
    <t>50 degrees</t>
  </si>
  <si>
    <t>d</t>
  </si>
  <si>
    <t>d^2</t>
  </si>
  <si>
    <t>vertex is (h,k)</t>
  </si>
  <si>
    <t>vertex is (-b/(2a), f(-b/(2a)))</t>
  </si>
  <si>
    <t>,</t>
  </si>
  <si>
    <t>b^2-4ac</t>
  </si>
  <si>
    <t>is</t>
  </si>
  <si>
    <t>a=</t>
  </si>
  <si>
    <t>b=</t>
  </si>
  <si>
    <t>c=</t>
  </si>
  <si>
    <t>2x + 3y =</t>
  </si>
  <si>
    <t>4  (1.25,0.5)</t>
  </si>
  <si>
    <t>4x + 2y =</t>
  </si>
  <si>
    <t>1x + 3y =</t>
  </si>
  <si>
    <t>(1,1)</t>
  </si>
  <si>
    <t>1x -2y = 4</t>
  </si>
  <si>
    <t>(2,-1)</t>
  </si>
  <si>
    <t>4x +2y=6</t>
  </si>
  <si>
    <t>-4x - 2y =</t>
  </si>
  <si>
    <t>stuff 1</t>
  </si>
  <si>
    <t>stuff 2</t>
  </si>
  <si>
    <t>total</t>
  </si>
  <si>
    <t>stuff 1 is</t>
  </si>
  <si>
    <t>stuff 2 is</t>
  </si>
  <si>
    <t>total value</t>
  </si>
  <si>
    <t>keep either cost or number the same</t>
  </si>
  <si>
    <t>Five blue toys and six red toys cost $46.</t>
  </si>
  <si>
    <t>Four blue toys and three red toys cost $26.</t>
  </si>
  <si>
    <t>Find the cost of each red toy and each blue toy.</t>
  </si>
  <si>
    <t>blue is2</t>
  </si>
  <si>
    <t>red is 6</t>
  </si>
  <si>
    <t>)=</t>
  </si>
  <si>
    <t>x+</t>
  </si>
  <si>
    <t>f</t>
  </si>
  <si>
    <t>m</t>
  </si>
  <si>
    <r>
      <t>x</t>
    </r>
    <r>
      <rPr>
        <b/>
        <sz val="16"/>
        <rFont val="Calibri"/>
        <family val="2"/>
      </rPr>
      <t>²</t>
    </r>
    <r>
      <rPr>
        <b/>
        <sz val="16"/>
        <rFont val="Arial"/>
        <family val="2"/>
      </rPr>
      <t xml:space="preserve"> +</t>
    </r>
  </si>
  <si>
    <t>© 2007, 2008, 2012, 2017 A. Azzolino</t>
  </si>
  <si>
    <t xml:space="preserve">This part of the page is super sensitive.  </t>
  </si>
  <si>
    <t xml:space="preserve">Check your answers because the </t>
  </si>
  <si>
    <t>exponentiation is really wild!</t>
  </si>
  <si>
    <t>sides of any triangle</t>
  </si>
  <si>
    <t>s</t>
  </si>
  <si>
    <t>triangle. Input correct sides.</t>
  </si>
  <si>
    <t xml:space="preserve">If the area is #NUM!, you have not inputed sides of a </t>
  </si>
  <si>
    <t>Do not change the value of any cell.</t>
  </si>
  <si>
    <t>They all have formulas in them.</t>
  </si>
  <si>
    <t>Select the equations you wish to change.</t>
  </si>
  <si>
    <t>Paste the new material in a blank area and</t>
  </si>
  <si>
    <t>press enter.</t>
  </si>
  <si>
    <t>the values will change.</t>
  </si>
  <si>
    <t>Values will also change if you simply type in a</t>
  </si>
  <si>
    <t>blank cell and press enter.</t>
  </si>
  <si>
    <t>p</t>
  </si>
  <si>
    <t xml:space="preserve">To use the random number generator, </t>
  </si>
  <si>
    <t>type something in a blank cell and</t>
  </si>
  <si>
    <t>Enter data in yellow.  Gray cells compute.</t>
  </si>
  <si>
    <t>area = b*(c*sin(A))</t>
  </si>
  <si>
    <t>triangle. Input correct sides and angle.</t>
  </si>
  <si>
    <t>Input unknowns in yellow cells. Blue cells will compute.</t>
  </si>
  <si>
    <t>● Heron's formula for area given 3 sides or an angle and 2 sides.</t>
  </si>
  <si>
    <t>mixture</t>
  </si>
  <si>
    <t>● Computes mixture problems with one or two variables.</t>
  </si>
  <si>
    <t>vertex @</t>
  </si>
  <si>
    <t>sqrt(-ak)/a is</t>
  </si>
  <si>
    <t>is a</t>
  </si>
  <si>
    <t>is-2ah</t>
  </si>
  <si>
    <t>is ah^2+k</t>
  </si>
  <si>
    <t>yields: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</si>
</sst>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.00"/>
    <numFmt numFmtId="167" formatCode="&quot;$&quot;#,##0.0"/>
    <numFmt numFmtId="168" formatCode="&quot;$&quot;#,##0"/>
    <numFmt numFmtId="169" formatCode="0.0000"/>
  </numFmts>
  <fonts count="7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u val="single"/>
      <sz val="10"/>
      <color indexed="12"/>
      <name val="Arial"/>
      <family val="0"/>
    </font>
    <font>
      <b/>
      <vertAlign val="superscript"/>
      <sz val="12"/>
      <name val="Arial"/>
      <family val="2"/>
    </font>
    <font>
      <sz val="20"/>
      <name val="Arial"/>
      <family val="0"/>
    </font>
    <font>
      <sz val="16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2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2"/>
    </font>
    <font>
      <b/>
      <sz val="8"/>
      <name val="Arial"/>
      <family val="0"/>
    </font>
    <font>
      <b/>
      <sz val="22"/>
      <name val="Arial"/>
      <family val="2"/>
    </font>
    <font>
      <b/>
      <sz val="10"/>
      <color indexed="9"/>
      <name val="Arial"/>
      <family val="2"/>
    </font>
    <font>
      <b/>
      <vertAlign val="subscript"/>
      <sz val="20"/>
      <name val="Arial"/>
      <family val="2"/>
    </font>
    <font>
      <b/>
      <vertAlign val="superscript"/>
      <sz val="20"/>
      <color indexed="9"/>
      <name val="Arial"/>
      <family val="2"/>
    </font>
    <font>
      <b/>
      <vertAlign val="subscript"/>
      <sz val="14"/>
      <name val="Arial"/>
      <family val="2"/>
    </font>
    <font>
      <b/>
      <sz val="14"/>
      <color indexed="9"/>
      <name val="Arial"/>
      <family val="2"/>
    </font>
    <font>
      <b/>
      <vertAlign val="subscript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164" fontId="2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6" fillId="38" borderId="14" xfId="0" applyFont="1" applyFill="1" applyBorder="1" applyAlignment="1" applyProtection="1">
      <alignment/>
      <protection locked="0"/>
    </xf>
    <xf numFmtId="0" fontId="6" fillId="38" borderId="15" xfId="0" applyFont="1" applyFill="1" applyBorder="1" applyAlignment="1" applyProtection="1">
      <alignment/>
      <protection locked="0"/>
    </xf>
    <xf numFmtId="0" fontId="6" fillId="38" borderId="16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6" fillId="34" borderId="11" xfId="0" applyFont="1" applyFill="1" applyBorder="1" applyAlignment="1" applyProtection="1">
      <alignment/>
      <protection locked="0"/>
    </xf>
    <xf numFmtId="0" fontId="4" fillId="39" borderId="0" xfId="0" applyFont="1" applyFill="1" applyBorder="1" applyAlignment="1">
      <alignment/>
    </xf>
    <xf numFmtId="0" fontId="4" fillId="38" borderId="14" xfId="0" applyFont="1" applyFill="1" applyBorder="1" applyAlignment="1" applyProtection="1">
      <alignment/>
      <protection locked="0"/>
    </xf>
    <xf numFmtId="0" fontId="4" fillId="38" borderId="15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39" borderId="15" xfId="0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2" fillId="33" borderId="0" xfId="0" applyFont="1" applyFill="1" applyAlignment="1">
      <alignment/>
    </xf>
    <xf numFmtId="165" fontId="2" fillId="37" borderId="0" xfId="0" applyNumberFormat="1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42" borderId="0" xfId="0" applyFont="1" applyFill="1" applyAlignment="1">
      <alignment/>
    </xf>
    <xf numFmtId="0" fontId="2" fillId="43" borderId="0" xfId="0" applyFont="1" applyFill="1" applyAlignment="1">
      <alignment/>
    </xf>
    <xf numFmtId="0" fontId="2" fillId="42" borderId="0" xfId="0" applyFont="1" applyFill="1" applyBorder="1" applyAlignment="1">
      <alignment/>
    </xf>
    <xf numFmtId="0" fontId="2" fillId="44" borderId="0" xfId="0" applyFont="1" applyFill="1" applyAlignment="1">
      <alignment/>
    </xf>
    <xf numFmtId="0" fontId="2" fillId="39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0" fontId="2" fillId="39" borderId="17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39" borderId="11" xfId="0" applyFont="1" applyFill="1" applyBorder="1" applyAlignment="1">
      <alignment/>
    </xf>
    <xf numFmtId="0" fontId="2" fillId="45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" fontId="2" fillId="36" borderId="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5" borderId="18" xfId="0" applyFont="1" applyFill="1" applyBorder="1" applyAlignment="1">
      <alignment/>
    </xf>
    <xf numFmtId="0" fontId="2" fillId="43" borderId="18" xfId="0" applyFont="1" applyFill="1" applyBorder="1" applyAlignment="1">
      <alignment/>
    </xf>
    <xf numFmtId="0" fontId="2" fillId="44" borderId="18" xfId="0" applyFont="1" applyFill="1" applyBorder="1" applyAlignment="1">
      <alignment/>
    </xf>
    <xf numFmtId="0" fontId="2" fillId="39" borderId="18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9" borderId="12" xfId="0" applyFont="1" applyFill="1" applyBorder="1" applyAlignment="1">
      <alignment/>
    </xf>
    <xf numFmtId="0" fontId="2" fillId="46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39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46" borderId="13" xfId="0" applyFont="1" applyFill="1" applyBorder="1" applyAlignment="1">
      <alignment/>
    </xf>
    <xf numFmtId="0" fontId="2" fillId="46" borderId="0" xfId="0" applyFont="1" applyFill="1" applyAlignment="1">
      <alignment/>
    </xf>
    <xf numFmtId="0" fontId="2" fillId="47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9" borderId="16" xfId="0" applyFont="1" applyFill="1" applyBorder="1" applyAlignment="1">
      <alignment/>
    </xf>
    <xf numFmtId="0" fontId="2" fillId="46" borderId="17" xfId="0" applyFont="1" applyFill="1" applyBorder="1" applyAlignment="1">
      <alignment/>
    </xf>
    <xf numFmtId="0" fontId="2" fillId="46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46" borderId="14" xfId="0" applyFont="1" applyFill="1" applyBorder="1" applyAlignment="1">
      <alignment/>
    </xf>
    <xf numFmtId="0" fontId="2" fillId="46" borderId="16" xfId="0" applyFont="1" applyFill="1" applyBorder="1" applyAlignment="1">
      <alignment/>
    </xf>
    <xf numFmtId="0" fontId="2" fillId="47" borderId="20" xfId="0" applyNumberFormat="1" applyFont="1" applyFill="1" applyBorder="1" applyAlignment="1">
      <alignment/>
    </xf>
    <xf numFmtId="0" fontId="2" fillId="42" borderId="0" xfId="0" applyNumberFormat="1" applyFont="1" applyFill="1" applyAlignment="1">
      <alignment/>
    </xf>
    <xf numFmtId="0" fontId="2" fillId="44" borderId="2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46" borderId="18" xfId="0" applyFont="1" applyFill="1" applyBorder="1" applyAlignment="1">
      <alignment horizontal="left"/>
    </xf>
    <xf numFmtId="0" fontId="2" fillId="47" borderId="18" xfId="0" applyFont="1" applyFill="1" applyBorder="1" applyAlignment="1">
      <alignment/>
    </xf>
    <xf numFmtId="49" fontId="2" fillId="0" borderId="15" xfId="0" applyNumberFormat="1" applyFont="1" applyBorder="1" applyAlignment="1">
      <alignment/>
    </xf>
    <xf numFmtId="0" fontId="2" fillId="38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44" borderId="18" xfId="0" applyNumberFormat="1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48" borderId="0" xfId="0" applyFont="1" applyFill="1" applyBorder="1" applyAlignment="1">
      <alignment/>
    </xf>
    <xf numFmtId="0" fontId="2" fillId="49" borderId="13" xfId="0" applyFont="1" applyFill="1" applyBorder="1" applyAlignment="1">
      <alignment/>
    </xf>
    <xf numFmtId="0" fontId="2" fillId="42" borderId="0" xfId="0" applyFont="1" applyFill="1" applyAlignment="1">
      <alignment horizontal="left"/>
    </xf>
    <xf numFmtId="0" fontId="2" fillId="42" borderId="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165" fontId="2" fillId="35" borderId="12" xfId="0" applyNumberFormat="1" applyFont="1" applyFill="1" applyBorder="1" applyAlignment="1">
      <alignment/>
    </xf>
    <xf numFmtId="165" fontId="2" fillId="48" borderId="0" xfId="0" applyNumberFormat="1" applyFont="1" applyFill="1" applyBorder="1" applyAlignment="1">
      <alignment/>
    </xf>
    <xf numFmtId="165" fontId="2" fillId="49" borderId="13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45" borderId="12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14" xfId="0" applyFont="1" applyFill="1" applyBorder="1" applyAlignment="1">
      <alignment/>
    </xf>
    <xf numFmtId="0" fontId="2" fillId="38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4" borderId="12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1" fontId="2" fillId="42" borderId="0" xfId="0" applyNumberFormat="1" applyFont="1" applyFill="1" applyBorder="1" applyAlignment="1">
      <alignment/>
    </xf>
    <xf numFmtId="49" fontId="2" fillId="42" borderId="0" xfId="0" applyNumberFormat="1" applyFont="1" applyFill="1" applyBorder="1" applyAlignment="1">
      <alignment/>
    </xf>
    <xf numFmtId="0" fontId="2" fillId="42" borderId="0" xfId="0" applyFont="1" applyFill="1" applyBorder="1" applyAlignment="1">
      <alignment horizontal="left"/>
    </xf>
    <xf numFmtId="0" fontId="4" fillId="35" borderId="21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42" borderId="12" xfId="0" applyFont="1" applyFill="1" applyBorder="1" applyAlignment="1">
      <alignment/>
    </xf>
    <xf numFmtId="0" fontId="4" fillId="41" borderId="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45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49" fontId="4" fillId="36" borderId="14" xfId="0" applyNumberFormat="1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2" fillId="36" borderId="13" xfId="0" applyFont="1" applyFill="1" applyBorder="1" applyAlignment="1">
      <alignment/>
    </xf>
    <xf numFmtId="0" fontId="2" fillId="45" borderId="13" xfId="0" applyFont="1" applyFill="1" applyBorder="1" applyAlignment="1">
      <alignment/>
    </xf>
    <xf numFmtId="0" fontId="2" fillId="45" borderId="14" xfId="0" applyFont="1" applyFill="1" applyBorder="1" applyAlignment="1">
      <alignment/>
    </xf>
    <xf numFmtId="0" fontId="2" fillId="45" borderId="15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45" borderId="16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2" fillId="41" borderId="24" xfId="0" applyFont="1" applyFill="1" applyBorder="1" applyAlignment="1">
      <alignment/>
    </xf>
    <xf numFmtId="0" fontId="2" fillId="41" borderId="25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164" fontId="2" fillId="35" borderId="25" xfId="0" applyNumberFormat="1" applyFont="1" applyFill="1" applyBorder="1" applyAlignment="1">
      <alignment/>
    </xf>
    <xf numFmtId="164" fontId="2" fillId="41" borderId="25" xfId="0" applyNumberFormat="1" applyFont="1" applyFill="1" applyBorder="1" applyAlignment="1">
      <alignment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2" fillId="35" borderId="17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3" borderId="0" xfId="0" applyFill="1" applyBorder="1" applyAlignment="1">
      <alignment/>
    </xf>
    <xf numFmtId="0" fontId="2" fillId="41" borderId="26" xfId="0" applyFont="1" applyFill="1" applyBorder="1" applyAlignment="1">
      <alignment/>
    </xf>
    <xf numFmtId="164" fontId="2" fillId="35" borderId="27" xfId="0" applyNumberFormat="1" applyFont="1" applyFill="1" applyBorder="1" applyAlignment="1">
      <alignment/>
    </xf>
    <xf numFmtId="164" fontId="2" fillId="41" borderId="27" xfId="0" applyNumberFormat="1" applyFont="1" applyFill="1" applyBorder="1" applyAlignment="1">
      <alignment/>
    </xf>
    <xf numFmtId="0" fontId="2" fillId="41" borderId="28" xfId="0" applyFont="1" applyFill="1" applyBorder="1" applyAlignment="1">
      <alignment/>
    </xf>
    <xf numFmtId="0" fontId="2" fillId="41" borderId="29" xfId="0" applyFont="1" applyFill="1" applyBorder="1" applyAlignment="1">
      <alignment/>
    </xf>
    <xf numFmtId="0" fontId="2" fillId="41" borderId="30" xfId="0" applyFont="1" applyFill="1" applyBorder="1" applyAlignment="1">
      <alignment/>
    </xf>
    <xf numFmtId="164" fontId="2" fillId="41" borderId="31" xfId="0" applyNumberFormat="1" applyFont="1" applyFill="1" applyBorder="1" applyAlignment="1">
      <alignment/>
    </xf>
    <xf numFmtId="0" fontId="0" fillId="37" borderId="24" xfId="0" applyFill="1" applyBorder="1" applyAlignment="1">
      <alignment/>
    </xf>
    <xf numFmtId="0" fontId="2" fillId="37" borderId="32" xfId="0" applyFont="1" applyFill="1" applyBorder="1" applyAlignment="1">
      <alignment/>
    </xf>
    <xf numFmtId="0" fontId="2" fillId="37" borderId="25" xfId="0" applyFont="1" applyFill="1" applyBorder="1" applyAlignment="1">
      <alignment/>
    </xf>
    <xf numFmtId="0" fontId="2" fillId="41" borderId="33" xfId="0" applyFont="1" applyFill="1" applyBorder="1" applyAlignment="1">
      <alignment/>
    </xf>
    <xf numFmtId="0" fontId="2" fillId="41" borderId="34" xfId="0" applyFont="1" applyFill="1" applyBorder="1" applyAlignment="1">
      <alignment/>
    </xf>
    <xf numFmtId="0" fontId="2" fillId="41" borderId="35" xfId="0" applyFont="1" applyFill="1" applyBorder="1" applyAlignment="1">
      <alignment/>
    </xf>
    <xf numFmtId="164" fontId="2" fillId="41" borderId="36" xfId="0" applyNumberFormat="1" applyFont="1" applyFill="1" applyBorder="1" applyAlignment="1">
      <alignment/>
    </xf>
    <xf numFmtId="0" fontId="2" fillId="41" borderId="37" xfId="0" applyFont="1" applyFill="1" applyBorder="1" applyAlignment="1">
      <alignment/>
    </xf>
    <xf numFmtId="0" fontId="2" fillId="41" borderId="38" xfId="0" applyFont="1" applyFill="1" applyBorder="1" applyAlignment="1">
      <alignment/>
    </xf>
    <xf numFmtId="0" fontId="2" fillId="35" borderId="39" xfId="0" applyFont="1" applyFill="1" applyBorder="1" applyAlignment="1">
      <alignment/>
    </xf>
    <xf numFmtId="164" fontId="2" fillId="35" borderId="4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35" borderId="30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2" fillId="41" borderId="21" xfId="0" applyFont="1" applyFill="1" applyBorder="1" applyAlignment="1">
      <alignment/>
    </xf>
    <xf numFmtId="0" fontId="2" fillId="41" borderId="23" xfId="0" applyFont="1" applyFill="1" applyBorder="1" applyAlignment="1">
      <alignment/>
    </xf>
    <xf numFmtId="0" fontId="2" fillId="41" borderId="32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35" borderId="24" xfId="0" applyFont="1" applyFill="1" applyBorder="1" applyAlignment="1">
      <alignment/>
    </xf>
    <xf numFmtId="164" fontId="12" fillId="35" borderId="25" xfId="0" applyNumberFormat="1" applyFont="1" applyFill="1" applyBorder="1" applyAlignment="1">
      <alignment/>
    </xf>
    <xf numFmtId="0" fontId="12" fillId="41" borderId="24" xfId="0" applyFont="1" applyFill="1" applyBorder="1" applyAlignment="1">
      <alignment/>
    </xf>
    <xf numFmtId="164" fontId="12" fillId="41" borderId="25" xfId="0" applyNumberFormat="1" applyFont="1" applyFill="1" applyBorder="1" applyAlignment="1">
      <alignment/>
    </xf>
    <xf numFmtId="0" fontId="3" fillId="50" borderId="0" xfId="0" applyFont="1" applyFill="1" applyAlignment="1">
      <alignment/>
    </xf>
    <xf numFmtId="164" fontId="13" fillId="35" borderId="0" xfId="0" applyNumberFormat="1" applyFont="1" applyFill="1" applyAlignment="1">
      <alignment/>
    </xf>
    <xf numFmtId="0" fontId="2" fillId="50" borderId="0" xfId="0" applyFont="1" applyFill="1" applyAlignment="1">
      <alignment/>
    </xf>
    <xf numFmtId="0" fontId="13" fillId="35" borderId="0" xfId="0" applyFont="1" applyFill="1" applyAlignment="1">
      <alignment/>
    </xf>
    <xf numFmtId="0" fontId="14" fillId="50" borderId="0" xfId="0" applyFont="1" applyFill="1" applyAlignment="1">
      <alignment/>
    </xf>
    <xf numFmtId="0" fontId="0" fillId="50" borderId="0" xfId="0" applyFill="1" applyAlignment="1">
      <alignment/>
    </xf>
    <xf numFmtId="0" fontId="12" fillId="51" borderId="24" xfId="0" applyFont="1" applyFill="1" applyBorder="1" applyAlignment="1">
      <alignment/>
    </xf>
    <xf numFmtId="164" fontId="12" fillId="51" borderId="25" xfId="0" applyNumberFormat="1" applyFont="1" applyFill="1" applyBorder="1" applyAlignment="1">
      <alignment/>
    </xf>
    <xf numFmtId="0" fontId="3" fillId="51" borderId="0" xfId="0" applyFont="1" applyFill="1" applyAlignment="1">
      <alignment/>
    </xf>
    <xf numFmtId="0" fontId="2" fillId="51" borderId="0" xfId="0" applyFont="1" applyFill="1" applyAlignment="1">
      <alignment/>
    </xf>
    <xf numFmtId="0" fontId="15" fillId="0" borderId="0" xfId="0" applyFont="1" applyAlignment="1">
      <alignment/>
    </xf>
    <xf numFmtId="0" fontId="12" fillId="37" borderId="0" xfId="0" applyFont="1" applyFill="1" applyAlignment="1">
      <alignment/>
    </xf>
    <xf numFmtId="0" fontId="16" fillId="37" borderId="0" xfId="0" applyFont="1" applyFill="1" applyAlignment="1">
      <alignment/>
    </xf>
    <xf numFmtId="0" fontId="12" fillId="37" borderId="0" xfId="0" applyFont="1" applyFill="1" applyBorder="1" applyAlignment="1">
      <alignment/>
    </xf>
    <xf numFmtId="0" fontId="11" fillId="0" borderId="0" xfId="0" applyFont="1" applyAlignment="1">
      <alignment/>
    </xf>
    <xf numFmtId="0" fontId="2" fillId="35" borderId="25" xfId="0" applyFont="1" applyFill="1" applyBorder="1" applyAlignment="1">
      <alignment/>
    </xf>
    <xf numFmtId="2" fontId="2" fillId="35" borderId="25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0" fontId="17" fillId="33" borderId="0" xfId="0" applyFont="1" applyFill="1" applyAlignment="1">
      <alignment/>
    </xf>
    <xf numFmtId="49" fontId="3" fillId="33" borderId="0" xfId="52" applyNumberFormat="1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 horizontal="left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1" fillId="37" borderId="21" xfId="0" applyFont="1" applyFill="1" applyBorder="1" applyAlignment="1">
      <alignment/>
    </xf>
    <xf numFmtId="0" fontId="18" fillId="37" borderId="22" xfId="0" applyFont="1" applyFill="1" applyBorder="1" applyAlignment="1">
      <alignment/>
    </xf>
    <xf numFmtId="0" fontId="18" fillId="37" borderId="22" xfId="0" applyFont="1" applyFill="1" applyBorder="1" applyAlignment="1">
      <alignment horizontal="left"/>
    </xf>
    <xf numFmtId="0" fontId="0" fillId="37" borderId="22" xfId="0" applyFill="1" applyBorder="1" applyAlignment="1">
      <alignment/>
    </xf>
    <xf numFmtId="0" fontId="18" fillId="37" borderId="23" xfId="0" applyFont="1" applyFill="1" applyBorder="1" applyAlignment="1">
      <alignment/>
    </xf>
    <xf numFmtId="0" fontId="18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42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35" borderId="22" xfId="0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65" fontId="2" fillId="37" borderId="12" xfId="0" applyNumberFormat="1" applyFont="1" applyFill="1" applyBorder="1" applyAlignment="1">
      <alignment/>
    </xf>
    <xf numFmtId="165" fontId="2" fillId="37" borderId="13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35" borderId="41" xfId="0" applyFont="1" applyFill="1" applyBorder="1" applyAlignment="1">
      <alignment/>
    </xf>
    <xf numFmtId="0" fontId="2" fillId="38" borderId="41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2" fillId="50" borderId="0" xfId="0" applyFont="1" applyFill="1" applyBorder="1" applyAlignment="1">
      <alignment/>
    </xf>
    <xf numFmtId="0" fontId="10" fillId="35" borderId="21" xfId="0" applyFont="1" applyFill="1" applyBorder="1" applyAlignment="1">
      <alignment/>
    </xf>
    <xf numFmtId="0" fontId="10" fillId="35" borderId="22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45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4" fillId="37" borderId="13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6" fillId="0" borderId="0" xfId="0" applyFont="1" applyAlignment="1">
      <alignment/>
    </xf>
    <xf numFmtId="0" fontId="19" fillId="34" borderId="11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6" xfId="0" applyFill="1" applyBorder="1" applyAlignment="1">
      <alignment/>
    </xf>
    <xf numFmtId="0" fontId="4" fillId="39" borderId="13" xfId="0" applyFont="1" applyFill="1" applyBorder="1" applyAlignment="1">
      <alignment/>
    </xf>
    <xf numFmtId="0" fontId="19" fillId="35" borderId="22" xfId="0" applyFont="1" applyFill="1" applyBorder="1" applyAlignment="1">
      <alignment/>
    </xf>
    <xf numFmtId="0" fontId="19" fillId="35" borderId="23" xfId="0" applyFont="1" applyFill="1" applyBorder="1" applyAlignment="1">
      <alignment/>
    </xf>
    <xf numFmtId="0" fontId="20" fillId="35" borderId="21" xfId="0" applyFont="1" applyFill="1" applyBorder="1" applyAlignment="1">
      <alignment/>
    </xf>
    <xf numFmtId="0" fontId="0" fillId="0" borderId="0" xfId="0" applyBorder="1" applyAlignment="1">
      <alignment/>
    </xf>
    <xf numFmtId="0" fontId="4" fillId="36" borderId="21" xfId="0" applyFont="1" applyFill="1" applyBorder="1" applyAlignment="1">
      <alignment horizontal="right"/>
    </xf>
    <xf numFmtId="0" fontId="4" fillId="36" borderId="23" xfId="0" applyFont="1" applyFill="1" applyBorder="1" applyAlignment="1">
      <alignment horizontal="left"/>
    </xf>
    <xf numFmtId="0" fontId="4" fillId="43" borderId="21" xfId="0" applyFont="1" applyFill="1" applyBorder="1" applyAlignment="1">
      <alignment horizontal="right"/>
    </xf>
    <xf numFmtId="0" fontId="4" fillId="43" borderId="23" xfId="0" applyFont="1" applyFill="1" applyBorder="1" applyAlignment="1">
      <alignment horizontal="left"/>
    </xf>
    <xf numFmtId="0" fontId="4" fillId="44" borderId="0" xfId="0" applyFont="1" applyFill="1" applyBorder="1" applyAlignment="1">
      <alignment horizontal="right"/>
    </xf>
    <xf numFmtId="0" fontId="6" fillId="44" borderId="0" xfId="0" applyFont="1" applyFill="1" applyAlignment="1">
      <alignment horizontal="left"/>
    </xf>
    <xf numFmtId="0" fontId="0" fillId="39" borderId="21" xfId="0" applyFill="1" applyBorder="1" applyAlignment="1">
      <alignment horizontal="right"/>
    </xf>
    <xf numFmtId="0" fontId="0" fillId="39" borderId="23" xfId="0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6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43" borderId="0" xfId="0" applyFont="1" applyFill="1" applyBorder="1" applyAlignment="1">
      <alignment/>
    </xf>
    <xf numFmtId="0" fontId="4" fillId="43" borderId="42" xfId="0" applyFont="1" applyFill="1" applyBorder="1" applyAlignment="1">
      <alignment/>
    </xf>
    <xf numFmtId="0" fontId="4" fillId="43" borderId="43" xfId="0" applyFont="1" applyFill="1" applyBorder="1" applyAlignment="1">
      <alignment/>
    </xf>
    <xf numFmtId="0" fontId="4" fillId="4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38" borderId="0" xfId="0" applyFill="1" applyAlignment="1">
      <alignment/>
    </xf>
    <xf numFmtId="0" fontId="0" fillId="38" borderId="15" xfId="0" applyFill="1" applyBorder="1" applyAlignment="1">
      <alignment/>
    </xf>
    <xf numFmtId="0" fontId="0" fillId="52" borderId="0" xfId="0" applyFill="1" applyAlignment="1">
      <alignment/>
    </xf>
    <xf numFmtId="0" fontId="0" fillId="38" borderId="0" xfId="0" applyFill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37" borderId="12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5" xfId="0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0" fontId="0" fillId="42" borderId="0" xfId="0" applyFill="1" applyAlignment="1">
      <alignment/>
    </xf>
    <xf numFmtId="1" fontId="2" fillId="33" borderId="0" xfId="0" applyNumberFormat="1" applyFont="1" applyFill="1" applyBorder="1" applyAlignment="1">
      <alignment/>
    </xf>
    <xf numFmtId="0" fontId="0" fillId="38" borderId="17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6" xfId="0" applyFill="1" applyBorder="1" applyAlignment="1">
      <alignment/>
    </xf>
    <xf numFmtId="0" fontId="2" fillId="34" borderId="41" xfId="0" applyFont="1" applyFill="1" applyBorder="1" applyAlignment="1">
      <alignment/>
    </xf>
    <xf numFmtId="0" fontId="0" fillId="0" borderId="0" xfId="0" applyFont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3" fillId="34" borderId="44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21" fillId="34" borderId="4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Border="1" applyAlignment="1">
      <alignment/>
    </xf>
    <xf numFmtId="0" fontId="3" fillId="37" borderId="0" xfId="0" applyFont="1" applyFill="1" applyBorder="1" applyAlignment="1">
      <alignment horizontal="left"/>
    </xf>
    <xf numFmtId="0" fontId="3" fillId="37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right"/>
    </xf>
    <xf numFmtId="0" fontId="22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23" fillId="46" borderId="0" xfId="0" applyFont="1" applyFill="1" applyAlignment="1">
      <alignment/>
    </xf>
    <xf numFmtId="0" fontId="17" fillId="0" borderId="0" xfId="0" applyFont="1" applyAlignment="1">
      <alignment/>
    </xf>
    <xf numFmtId="0" fontId="17" fillId="42" borderId="0" xfId="0" applyFont="1" applyFill="1" applyAlignment="1">
      <alignment/>
    </xf>
    <xf numFmtId="0" fontId="25" fillId="46" borderId="0" xfId="0" applyFont="1" applyFill="1" applyAlignment="1">
      <alignment/>
    </xf>
    <xf numFmtId="0" fontId="25" fillId="51" borderId="0" xfId="0" applyFont="1" applyFill="1" applyAlignment="1">
      <alignment/>
    </xf>
    <xf numFmtId="0" fontId="4" fillId="0" borderId="0" xfId="0" applyFont="1" applyAlignment="1">
      <alignment/>
    </xf>
    <xf numFmtId="0" fontId="4" fillId="42" borderId="41" xfId="0" applyFont="1" applyFill="1" applyBorder="1" applyAlignment="1">
      <alignment/>
    </xf>
    <xf numFmtId="0" fontId="4" fillId="37" borderId="41" xfId="0" applyFont="1" applyFill="1" applyBorder="1" applyAlignment="1">
      <alignment/>
    </xf>
    <xf numFmtId="0" fontId="27" fillId="46" borderId="41" xfId="0" applyFont="1" applyFill="1" applyBorder="1" applyAlignment="1">
      <alignment/>
    </xf>
    <xf numFmtId="0" fontId="27" fillId="47" borderId="41" xfId="0" applyFont="1" applyFill="1" applyBorder="1" applyAlignment="1">
      <alignment/>
    </xf>
    <xf numFmtId="0" fontId="27" fillId="51" borderId="41" xfId="0" applyFont="1" applyFill="1" applyBorder="1" applyAlignment="1">
      <alignment/>
    </xf>
    <xf numFmtId="0" fontId="4" fillId="35" borderId="41" xfId="0" applyFont="1" applyFill="1" applyBorder="1" applyAlignment="1">
      <alignment/>
    </xf>
    <xf numFmtId="169" fontId="3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7" fillId="42" borderId="10" xfId="0" applyFont="1" applyFill="1" applyBorder="1" applyAlignment="1">
      <alignment/>
    </xf>
    <xf numFmtId="0" fontId="17" fillId="46" borderId="10" xfId="0" applyFont="1" applyFill="1" applyBorder="1" applyAlignment="1">
      <alignment/>
    </xf>
    <xf numFmtId="0" fontId="17" fillId="51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0" fillId="37" borderId="0" xfId="0" applyFont="1" applyFill="1" applyBorder="1" applyAlignment="1">
      <alignment/>
    </xf>
    <xf numFmtId="0" fontId="2" fillId="53" borderId="12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2" fillId="54" borderId="0" xfId="0" applyFont="1" applyFill="1" applyAlignment="1">
      <alignment/>
    </xf>
    <xf numFmtId="0" fontId="2" fillId="53" borderId="0" xfId="0" applyFont="1" applyFill="1" applyBorder="1" applyAlignment="1">
      <alignment/>
    </xf>
    <xf numFmtId="0" fontId="2" fillId="55" borderId="12" xfId="0" applyFont="1" applyFill="1" applyBorder="1" applyAlignment="1">
      <alignment/>
    </xf>
    <xf numFmtId="0" fontId="2" fillId="17" borderId="0" xfId="0" applyFont="1" applyFill="1" applyBorder="1" applyAlignment="1">
      <alignment/>
    </xf>
    <xf numFmtId="0" fontId="0" fillId="56" borderId="0" xfId="0" applyFill="1" applyAlignment="1">
      <alignment/>
    </xf>
    <xf numFmtId="0" fontId="0" fillId="56" borderId="0" xfId="0" applyFill="1" applyBorder="1" applyAlignment="1">
      <alignment/>
    </xf>
    <xf numFmtId="0" fontId="8" fillId="34" borderId="12" xfId="52" applyFont="1" applyFill="1" applyBorder="1" applyAlignment="1" applyProtection="1">
      <alignment/>
      <protection/>
    </xf>
    <xf numFmtId="0" fontId="0" fillId="56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0" fillId="55" borderId="41" xfId="0" applyFill="1" applyBorder="1" applyAlignment="1">
      <alignment horizontal="center"/>
    </xf>
    <xf numFmtId="0" fontId="0" fillId="0" borderId="41" xfId="0" applyBorder="1" applyAlignment="1">
      <alignment/>
    </xf>
    <xf numFmtId="0" fontId="0" fillId="57" borderId="0" xfId="0" applyFill="1" applyAlignment="1">
      <alignment horizontal="center"/>
    </xf>
    <xf numFmtId="0" fontId="0" fillId="57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1" xfId="0" applyFill="1" applyBorder="1" applyAlignment="1">
      <alignment horizontal="center"/>
    </xf>
    <xf numFmtId="0" fontId="0" fillId="55" borderId="41" xfId="0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56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16" fontId="0" fillId="0" borderId="41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3" borderId="17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5" fillId="58" borderId="0" xfId="0" applyFont="1" applyFill="1" applyBorder="1" applyAlignment="1">
      <alignment/>
    </xf>
    <xf numFmtId="0" fontId="0" fillId="58" borderId="0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15" borderId="0" xfId="0" applyFont="1" applyFill="1" applyBorder="1" applyAlignment="1">
      <alignment/>
    </xf>
    <xf numFmtId="0" fontId="5" fillId="59" borderId="0" xfId="0" applyFont="1" applyFill="1" applyBorder="1" applyAlignment="1">
      <alignment/>
    </xf>
    <xf numFmtId="0" fontId="5" fillId="60" borderId="0" xfId="0" applyFont="1" applyFill="1" applyBorder="1" applyAlignment="1">
      <alignment/>
    </xf>
    <xf numFmtId="0" fontId="5" fillId="58" borderId="10" xfId="0" applyFont="1" applyFill="1" applyBorder="1" applyAlignment="1">
      <alignment/>
    </xf>
    <xf numFmtId="0" fontId="5" fillId="58" borderId="11" xfId="0" applyFont="1" applyFill="1" applyBorder="1" applyAlignment="1">
      <alignment/>
    </xf>
    <xf numFmtId="0" fontId="5" fillId="58" borderId="12" xfId="0" applyFont="1" applyFill="1" applyBorder="1" applyAlignment="1">
      <alignment/>
    </xf>
    <xf numFmtId="0" fontId="5" fillId="55" borderId="0" xfId="0" applyFont="1" applyFill="1" applyBorder="1" applyAlignment="1">
      <alignment/>
    </xf>
    <xf numFmtId="0" fontId="5" fillId="53" borderId="0" xfId="0" applyFont="1" applyFill="1" applyBorder="1" applyAlignment="1">
      <alignment/>
    </xf>
    <xf numFmtId="0" fontId="5" fillId="61" borderId="0" xfId="0" applyFont="1" applyFill="1" applyBorder="1" applyAlignment="1">
      <alignment/>
    </xf>
    <xf numFmtId="0" fontId="5" fillId="62" borderId="0" xfId="0" applyFont="1" applyFill="1" applyBorder="1" applyAlignment="1">
      <alignment/>
    </xf>
    <xf numFmtId="0" fontId="5" fillId="58" borderId="13" xfId="0" applyFont="1" applyFill="1" applyBorder="1" applyAlignment="1">
      <alignment/>
    </xf>
    <xf numFmtId="0" fontId="0" fillId="58" borderId="12" xfId="0" applyFill="1" applyBorder="1" applyAlignment="1">
      <alignment/>
    </xf>
    <xf numFmtId="0" fontId="0" fillId="58" borderId="14" xfId="0" applyFill="1" applyBorder="1" applyAlignment="1">
      <alignment/>
    </xf>
    <xf numFmtId="0" fontId="5" fillId="58" borderId="15" xfId="0" applyFont="1" applyFill="1" applyBorder="1" applyAlignment="1">
      <alignment/>
    </xf>
    <xf numFmtId="0" fontId="5" fillId="58" borderId="16" xfId="0" applyFont="1" applyFill="1" applyBorder="1" applyAlignment="1">
      <alignment/>
    </xf>
    <xf numFmtId="0" fontId="5" fillId="58" borderId="17" xfId="0" applyFont="1" applyFill="1" applyBorder="1" applyAlignment="1">
      <alignment/>
    </xf>
    <xf numFmtId="0" fontId="5" fillId="55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53" borderId="10" xfId="0" applyFont="1" applyFill="1" applyBorder="1" applyAlignment="1">
      <alignment/>
    </xf>
    <xf numFmtId="0" fontId="5" fillId="61" borderId="10" xfId="0" applyFont="1" applyFill="1" applyBorder="1" applyAlignment="1">
      <alignment/>
    </xf>
    <xf numFmtId="0" fontId="5" fillId="62" borderId="10" xfId="0" applyFont="1" applyFill="1" applyBorder="1" applyAlignment="1">
      <alignment/>
    </xf>
    <xf numFmtId="0" fontId="5" fillId="63" borderId="0" xfId="0" applyFont="1" applyFill="1" applyBorder="1" applyAlignment="1">
      <alignment/>
    </xf>
    <xf numFmtId="0" fontId="5" fillId="64" borderId="0" xfId="0" applyFont="1" applyFill="1" applyBorder="1" applyAlignment="1">
      <alignment/>
    </xf>
    <xf numFmtId="0" fontId="5" fillId="0" borderId="41" xfId="0" applyFont="1" applyBorder="1" applyAlignment="1">
      <alignment/>
    </xf>
    <xf numFmtId="0" fontId="1" fillId="0" borderId="41" xfId="0" applyFont="1" applyFill="1" applyBorder="1" applyAlignment="1">
      <alignment/>
    </xf>
    <xf numFmtId="0" fontId="21" fillId="0" borderId="41" xfId="0" applyFont="1" applyFill="1" applyBorder="1" applyAlignment="1">
      <alignment horizontal="right"/>
    </xf>
    <xf numFmtId="0" fontId="21" fillId="0" borderId="41" xfId="0" applyFont="1" applyFill="1" applyBorder="1" applyAlignment="1">
      <alignment/>
    </xf>
    <xf numFmtId="0" fontId="1" fillId="0" borderId="41" xfId="0" applyFont="1" applyBorder="1" applyAlignment="1">
      <alignment/>
    </xf>
    <xf numFmtId="0" fontId="21" fillId="0" borderId="41" xfId="0" applyFont="1" applyBorder="1" applyAlignment="1">
      <alignment/>
    </xf>
    <xf numFmtId="2" fontId="5" fillId="63" borderId="15" xfId="0" applyNumberFormat="1" applyFont="1" applyFill="1" applyBorder="1" applyAlignment="1">
      <alignment/>
    </xf>
    <xf numFmtId="2" fontId="5" fillId="64" borderId="15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8" fillId="0" borderId="0" xfId="0" applyFont="1" applyAlignment="1">
      <alignment/>
    </xf>
    <xf numFmtId="0" fontId="2" fillId="54" borderId="41" xfId="0" applyFont="1" applyFill="1" applyBorder="1" applyAlignment="1">
      <alignment horizontal="center"/>
    </xf>
    <xf numFmtId="0" fontId="2" fillId="54" borderId="17" xfId="0" applyFont="1" applyFill="1" applyBorder="1" applyAlignment="1">
      <alignment/>
    </xf>
    <xf numFmtId="0" fontId="2" fillId="54" borderId="10" xfId="0" applyFont="1" applyFill="1" applyBorder="1" applyAlignment="1">
      <alignment/>
    </xf>
    <xf numFmtId="0" fontId="0" fillId="54" borderId="10" xfId="0" applyFill="1" applyBorder="1" applyAlignment="1">
      <alignment/>
    </xf>
    <xf numFmtId="0" fontId="0" fillId="54" borderId="11" xfId="0" applyFill="1" applyBorder="1" applyAlignment="1">
      <alignment/>
    </xf>
    <xf numFmtId="0" fontId="0" fillId="54" borderId="12" xfId="0" applyFill="1" applyBorder="1" applyAlignment="1">
      <alignment/>
    </xf>
    <xf numFmtId="0" fontId="0" fillId="54" borderId="0" xfId="0" applyFill="1" applyBorder="1" applyAlignment="1">
      <alignment/>
    </xf>
    <xf numFmtId="0" fontId="0" fillId="54" borderId="13" xfId="0" applyFill="1" applyBorder="1" applyAlignment="1">
      <alignment/>
    </xf>
    <xf numFmtId="0" fontId="2" fillId="54" borderId="48" xfId="0" applyFont="1" applyFill="1" applyBorder="1" applyAlignment="1">
      <alignment horizontal="center"/>
    </xf>
    <xf numFmtId="0" fontId="2" fillId="54" borderId="49" xfId="0" applyFont="1" applyFill="1" applyBorder="1" applyAlignment="1">
      <alignment horizontal="center"/>
    </xf>
    <xf numFmtId="0" fontId="0" fillId="54" borderId="14" xfId="0" applyFill="1" applyBorder="1" applyAlignment="1">
      <alignment/>
    </xf>
    <xf numFmtId="0" fontId="0" fillId="54" borderId="15" xfId="0" applyFill="1" applyBorder="1" applyAlignment="1">
      <alignment/>
    </xf>
    <xf numFmtId="0" fontId="0" fillId="54" borderId="16" xfId="0" applyFill="1" applyBorder="1" applyAlignment="1">
      <alignment/>
    </xf>
    <xf numFmtId="0" fontId="0" fillId="54" borderId="12" xfId="0" applyFont="1" applyFill="1" applyBorder="1" applyAlignment="1">
      <alignment/>
    </xf>
    <xf numFmtId="0" fontId="0" fillId="54" borderId="15" xfId="0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164" fontId="2" fillId="0" borderId="41" xfId="0" applyNumberFormat="1" applyFont="1" applyFill="1" applyBorder="1" applyAlignment="1">
      <alignment horizontal="center"/>
    </xf>
    <xf numFmtId="164" fontId="3" fillId="35" borderId="41" xfId="0" applyNumberFormat="1" applyFont="1" applyFill="1" applyBorder="1" applyAlignment="1">
      <alignment horizontal="center"/>
    </xf>
    <xf numFmtId="164" fontId="3" fillId="41" borderId="24" xfId="0" applyNumberFormat="1" applyFont="1" applyFill="1" applyBorder="1" applyAlignment="1">
      <alignment horizontal="center"/>
    </xf>
    <xf numFmtId="164" fontId="3" fillId="41" borderId="41" xfId="0" applyNumberFormat="1" applyFont="1" applyFill="1" applyBorder="1" applyAlignment="1">
      <alignment horizontal="center"/>
    </xf>
    <xf numFmtId="164" fontId="3" fillId="0" borderId="41" xfId="0" applyNumberFormat="1" applyFont="1" applyFill="1" applyBorder="1" applyAlignment="1">
      <alignment horizontal="center"/>
    </xf>
    <xf numFmtId="164" fontId="3" fillId="37" borderId="41" xfId="0" applyNumberFormat="1" applyFont="1" applyFill="1" applyBorder="1" applyAlignment="1">
      <alignment horizontal="center"/>
    </xf>
    <xf numFmtId="164" fontId="3" fillId="35" borderId="34" xfId="0" applyNumberFormat="1" applyFont="1" applyFill="1" applyBorder="1" applyAlignment="1">
      <alignment horizontal="center"/>
    </xf>
    <xf numFmtId="164" fontId="3" fillId="41" borderId="0" xfId="0" applyNumberFormat="1" applyFont="1" applyFill="1" applyBorder="1" applyAlignment="1">
      <alignment horizontal="center"/>
    </xf>
    <xf numFmtId="164" fontId="3" fillId="35" borderId="29" xfId="0" applyNumberFormat="1" applyFont="1" applyFill="1" applyBorder="1" applyAlignment="1">
      <alignment horizontal="center"/>
    </xf>
    <xf numFmtId="164" fontId="3" fillId="35" borderId="50" xfId="0" applyNumberFormat="1" applyFont="1" applyFill="1" applyBorder="1" applyAlignment="1">
      <alignment horizontal="center"/>
    </xf>
    <xf numFmtId="0" fontId="3" fillId="55" borderId="48" xfId="0" applyFont="1" applyFill="1" applyBorder="1" applyAlignment="1">
      <alignment horizontal="center"/>
    </xf>
    <xf numFmtId="0" fontId="3" fillId="55" borderId="41" xfId="0" applyFont="1" applyFill="1" applyBorder="1" applyAlignment="1">
      <alignment horizontal="center"/>
    </xf>
    <xf numFmtId="0" fontId="3" fillId="62" borderId="41" xfId="0" applyFont="1" applyFill="1" applyBorder="1" applyAlignment="1">
      <alignment horizontal="center"/>
    </xf>
    <xf numFmtId="0" fontId="3" fillId="62" borderId="49" xfId="0" applyFont="1" applyFill="1" applyBorder="1" applyAlignment="1">
      <alignment horizontal="center"/>
    </xf>
    <xf numFmtId="0" fontId="69" fillId="0" borderId="0" xfId="0" applyFont="1" applyFill="1" applyAlignment="1">
      <alignment/>
    </xf>
    <xf numFmtId="2" fontId="0" fillId="18" borderId="41" xfId="0" applyNumberFormat="1" applyFill="1" applyBorder="1" applyAlignment="1">
      <alignment horizontal="center"/>
    </xf>
    <xf numFmtId="0" fontId="0" fillId="18" borderId="41" xfId="0" applyFill="1" applyBorder="1" applyAlignment="1">
      <alignment horizontal="center"/>
    </xf>
    <xf numFmtId="0" fontId="0" fillId="18" borderId="41" xfId="0" applyFill="1" applyBorder="1" applyAlignment="1">
      <alignment/>
    </xf>
    <xf numFmtId="0" fontId="2" fillId="55" borderId="41" xfId="0" applyFont="1" applyFill="1" applyBorder="1" applyAlignment="1">
      <alignment/>
    </xf>
    <xf numFmtId="0" fontId="2" fillId="55" borderId="24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18" borderId="41" xfId="0" applyFont="1" applyFill="1" applyBorder="1" applyAlignment="1">
      <alignment/>
    </xf>
    <xf numFmtId="0" fontId="0" fillId="12" borderId="41" xfId="0" applyFill="1" applyBorder="1" applyAlignment="1">
      <alignment/>
    </xf>
    <xf numFmtId="0" fontId="0" fillId="12" borderId="41" xfId="0" applyFill="1" applyBorder="1" applyAlignment="1">
      <alignment horizontal="center"/>
    </xf>
    <xf numFmtId="0" fontId="2" fillId="18" borderId="11" xfId="0" applyFont="1" applyFill="1" applyBorder="1" applyAlignment="1">
      <alignment/>
    </xf>
    <xf numFmtId="0" fontId="2" fillId="18" borderId="16" xfId="0" applyFont="1" applyFill="1" applyBorder="1" applyAlignment="1">
      <alignment/>
    </xf>
    <xf numFmtId="0" fontId="2" fillId="53" borderId="17" xfId="0" applyFont="1" applyFill="1" applyBorder="1" applyAlignment="1">
      <alignment/>
    </xf>
    <xf numFmtId="0" fontId="2" fillId="53" borderId="14" xfId="0" applyFont="1" applyFill="1" applyBorder="1" applyAlignment="1">
      <alignment/>
    </xf>
    <xf numFmtId="0" fontId="2" fillId="53" borderId="10" xfId="0" applyFont="1" applyFill="1" applyBorder="1" applyAlignment="1">
      <alignment/>
    </xf>
    <xf numFmtId="0" fontId="2" fillId="53" borderId="15" xfId="0" applyFont="1" applyFill="1" applyBorder="1" applyAlignment="1">
      <alignment/>
    </xf>
    <xf numFmtId="0" fontId="0" fillId="59" borderId="0" xfId="0" applyFill="1" applyAlignment="1">
      <alignment/>
    </xf>
    <xf numFmtId="0" fontId="0" fillId="55" borderId="0" xfId="0" applyFill="1" applyAlignment="1">
      <alignment/>
    </xf>
    <xf numFmtId="0" fontId="5" fillId="55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59" borderId="0" xfId="0" applyFont="1" applyFill="1" applyAlignment="1">
      <alignment/>
    </xf>
    <xf numFmtId="0" fontId="3" fillId="55" borderId="51" xfId="0" applyFont="1" applyFill="1" applyBorder="1" applyAlignment="1">
      <alignment horizontal="center"/>
    </xf>
    <xf numFmtId="0" fontId="3" fillId="55" borderId="52" xfId="0" applyFont="1" applyFill="1" applyBorder="1" applyAlignment="1">
      <alignment horizontal="center"/>
    </xf>
    <xf numFmtId="0" fontId="3" fillId="55" borderId="53" xfId="0" applyFont="1" applyFill="1" applyBorder="1" applyAlignment="1">
      <alignment horizontal="center"/>
    </xf>
    <xf numFmtId="0" fontId="3" fillId="55" borderId="54" xfId="0" applyFont="1" applyFill="1" applyBorder="1" applyAlignment="1">
      <alignment horizontal="center"/>
    </xf>
    <xf numFmtId="0" fontId="3" fillId="54" borderId="51" xfId="0" applyFont="1" applyFill="1" applyBorder="1" applyAlignment="1">
      <alignment horizontal="center"/>
    </xf>
    <xf numFmtId="0" fontId="3" fillId="54" borderId="18" xfId="0" applyFont="1" applyFill="1" applyBorder="1" applyAlignment="1">
      <alignment horizontal="center"/>
    </xf>
    <xf numFmtId="0" fontId="0" fillId="55" borderId="0" xfId="0" applyFont="1" applyFill="1" applyAlignment="1">
      <alignment/>
    </xf>
    <xf numFmtId="0" fontId="2" fillId="55" borderId="0" xfId="0" applyFont="1" applyFill="1" applyAlignment="1">
      <alignment/>
    </xf>
    <xf numFmtId="0" fontId="2" fillId="54" borderId="0" xfId="0" applyFont="1" applyFill="1" applyBorder="1" applyAlignment="1">
      <alignment/>
    </xf>
    <xf numFmtId="0" fontId="2" fillId="54" borderId="0" xfId="0" applyFont="1" applyFill="1" applyAlignment="1">
      <alignment horizontal="left"/>
    </xf>
    <xf numFmtId="0" fontId="2" fillId="54" borderId="0" xfId="0" applyNumberFormat="1" applyFont="1" applyFill="1" applyBorder="1" applyAlignment="1">
      <alignment/>
    </xf>
    <xf numFmtId="0" fontId="2" fillId="54" borderId="0" xfId="0" applyNumberFormat="1" applyFont="1" applyFill="1" applyAlignment="1">
      <alignment/>
    </xf>
    <xf numFmtId="0" fontId="2" fillId="54" borderId="41" xfId="0" applyFont="1" applyFill="1" applyBorder="1" applyAlignment="1">
      <alignment/>
    </xf>
    <xf numFmtId="164" fontId="2" fillId="54" borderId="41" xfId="0" applyNumberFormat="1" applyFont="1" applyFill="1" applyBorder="1" applyAlignment="1">
      <alignment/>
    </xf>
    <xf numFmtId="0" fontId="2" fillId="53" borderId="41" xfId="0" applyFont="1" applyFill="1" applyBorder="1" applyAlignment="1">
      <alignment/>
    </xf>
    <xf numFmtId="0" fontId="2" fillId="14" borderId="41" xfId="0" applyFont="1" applyFill="1" applyBorder="1" applyAlignment="1">
      <alignment/>
    </xf>
    <xf numFmtId="0" fontId="2" fillId="14" borderId="13" xfId="0" applyFont="1" applyFill="1" applyBorder="1" applyAlignment="1">
      <alignment/>
    </xf>
    <xf numFmtId="0" fontId="4" fillId="36" borderId="42" xfId="0" applyFont="1" applyFill="1" applyBorder="1" applyAlignment="1">
      <alignment/>
    </xf>
    <xf numFmtId="0" fontId="4" fillId="42" borderId="42" xfId="0" applyFont="1" applyFill="1" applyBorder="1" applyAlignment="1">
      <alignment/>
    </xf>
    <xf numFmtId="0" fontId="4" fillId="44" borderId="42" xfId="0" applyFont="1" applyFill="1" applyBorder="1" applyAlignment="1">
      <alignment/>
    </xf>
    <xf numFmtId="0" fontId="4" fillId="39" borderId="42" xfId="0" applyFont="1" applyFill="1" applyBorder="1" applyAlignment="1">
      <alignment/>
    </xf>
    <xf numFmtId="0" fontId="4" fillId="36" borderId="43" xfId="0" applyFont="1" applyFill="1" applyBorder="1" applyAlignment="1">
      <alignment/>
    </xf>
    <xf numFmtId="0" fontId="4" fillId="42" borderId="43" xfId="0" applyFont="1" applyFill="1" applyBorder="1" applyAlignment="1">
      <alignment/>
    </xf>
    <xf numFmtId="0" fontId="4" fillId="44" borderId="43" xfId="0" applyFont="1" applyFill="1" applyBorder="1" applyAlignment="1">
      <alignment/>
    </xf>
    <xf numFmtId="0" fontId="4" fillId="39" borderId="43" xfId="0" applyFont="1" applyFill="1" applyBorder="1" applyAlignment="1">
      <alignment/>
    </xf>
    <xf numFmtId="0" fontId="0" fillId="56" borderId="17" xfId="0" applyFill="1" applyBorder="1" applyAlignment="1">
      <alignment/>
    </xf>
    <xf numFmtId="0" fontId="0" fillId="56" borderId="10" xfId="0" applyFill="1" applyBorder="1" applyAlignment="1">
      <alignment/>
    </xf>
    <xf numFmtId="0" fontId="0" fillId="56" borderId="11" xfId="0" applyFill="1" applyBorder="1" applyAlignment="1">
      <alignment/>
    </xf>
    <xf numFmtId="0" fontId="0" fillId="56" borderId="12" xfId="0" applyFill="1" applyBorder="1" applyAlignment="1">
      <alignment/>
    </xf>
    <xf numFmtId="0" fontId="0" fillId="56" borderId="13" xfId="0" applyFill="1" applyBorder="1" applyAlignment="1">
      <alignment/>
    </xf>
    <xf numFmtId="0" fontId="0" fillId="56" borderId="14" xfId="0" applyFill="1" applyBorder="1" applyAlignment="1">
      <alignment/>
    </xf>
    <xf numFmtId="0" fontId="0" fillId="56" borderId="15" xfId="0" applyFill="1" applyBorder="1" applyAlignment="1">
      <alignment/>
    </xf>
    <xf numFmtId="0" fontId="0" fillId="56" borderId="16" xfId="0" applyFill="1" applyBorder="1" applyAlignment="1">
      <alignment/>
    </xf>
    <xf numFmtId="0" fontId="0" fillId="56" borderId="12" xfId="0" applyFont="1" applyFill="1" applyBorder="1" applyAlignment="1">
      <alignment/>
    </xf>
    <xf numFmtId="0" fontId="70" fillId="55" borderId="41" xfId="0" applyFont="1" applyFill="1" applyBorder="1" applyAlignment="1">
      <alignment horizontal="left"/>
    </xf>
    <xf numFmtId="0" fontId="70" fillId="55" borderId="41" xfId="0" applyFont="1" applyFill="1" applyBorder="1" applyAlignment="1">
      <alignment horizontal="center"/>
    </xf>
    <xf numFmtId="0" fontId="70" fillId="55" borderId="41" xfId="0" applyFont="1" applyFill="1" applyBorder="1" applyAlignment="1">
      <alignment/>
    </xf>
    <xf numFmtId="0" fontId="69" fillId="55" borderId="41" xfId="0" applyFont="1" applyFill="1" applyBorder="1" applyAlignment="1">
      <alignment/>
    </xf>
    <xf numFmtId="0" fontId="5" fillId="62" borderId="0" xfId="0" applyFont="1" applyFill="1" applyAlignment="1">
      <alignment/>
    </xf>
    <xf numFmtId="2" fontId="5" fillId="63" borderId="0" xfId="0" applyNumberFormat="1" applyFont="1" applyFill="1" applyBorder="1" applyAlignment="1">
      <alignment/>
    </xf>
    <xf numFmtId="2" fontId="5" fillId="64" borderId="0" xfId="0" applyNumberFormat="1" applyFont="1" applyFill="1" applyBorder="1" applyAlignment="1">
      <alignment/>
    </xf>
    <xf numFmtId="0" fontId="5" fillId="16" borderId="0" xfId="0" applyFont="1" applyFill="1" applyBorder="1" applyAlignment="1">
      <alignment horizontal="center"/>
    </xf>
    <xf numFmtId="0" fontId="5" fillId="16" borderId="0" xfId="0" applyFont="1" applyFill="1" applyBorder="1" applyAlignment="1">
      <alignment/>
    </xf>
    <xf numFmtId="2" fontId="5" fillId="16" borderId="0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63" borderId="10" xfId="0" applyFont="1" applyFill="1" applyBorder="1" applyAlignment="1">
      <alignment/>
    </xf>
    <xf numFmtId="0" fontId="5" fillId="64" borderId="10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5" fillId="16" borderId="12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16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Relationship Id="rId9" Type="http://schemas.openxmlformats.org/officeDocument/2006/relationships/image" Target="../media/image1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3</xdr:row>
      <xdr:rowOff>57150</xdr:rowOff>
    </xdr:from>
    <xdr:to>
      <xdr:col>6</xdr:col>
      <xdr:colOff>180975</xdr:colOff>
      <xdr:row>5</xdr:row>
      <xdr:rowOff>104775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733425"/>
          <a:ext cx="2857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19050</xdr:colOff>
      <xdr:row>4</xdr:row>
      <xdr:rowOff>66675</xdr:rowOff>
    </xdr:from>
    <xdr:to>
      <xdr:col>23</xdr:col>
      <xdr:colOff>552450</xdr:colOff>
      <xdr:row>6</xdr:row>
      <xdr:rowOff>152400</xdr:rowOff>
    </xdr:to>
    <xdr:pic>
      <xdr:nvPicPr>
        <xdr:cNvPr id="1" name="Picture 3" descr="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923925"/>
          <a:ext cx="1143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6</xdr:row>
      <xdr:rowOff>200025</xdr:rowOff>
    </xdr:from>
    <xdr:to>
      <xdr:col>23</xdr:col>
      <xdr:colOff>561975</xdr:colOff>
      <xdr:row>9</xdr:row>
      <xdr:rowOff>85725</xdr:rowOff>
    </xdr:to>
    <xdr:pic>
      <xdr:nvPicPr>
        <xdr:cNvPr id="2" name="Picture 4" descr="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1466850"/>
          <a:ext cx="1162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14</xdr:row>
      <xdr:rowOff>85725</xdr:rowOff>
    </xdr:from>
    <xdr:to>
      <xdr:col>13</xdr:col>
      <xdr:colOff>95250</xdr:colOff>
      <xdr:row>21</xdr:row>
      <xdr:rowOff>142875</xdr:rowOff>
    </xdr:to>
    <xdr:pic>
      <xdr:nvPicPr>
        <xdr:cNvPr id="1" name="Picture 1" descr="a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3067050"/>
          <a:ext cx="16573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457200</xdr:colOff>
      <xdr:row>15</xdr:row>
      <xdr:rowOff>47625</xdr:rowOff>
    </xdr:from>
    <xdr:to>
      <xdr:col>18</xdr:col>
      <xdr:colOff>581025</xdr:colOff>
      <xdr:row>19</xdr:row>
      <xdr:rowOff>114300</xdr:rowOff>
    </xdr:to>
    <xdr:pic>
      <xdr:nvPicPr>
        <xdr:cNvPr id="2" name="Picture 2" descr="pfor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3228975"/>
          <a:ext cx="2876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15</xdr:row>
      <xdr:rowOff>95250</xdr:rowOff>
    </xdr:from>
    <xdr:to>
      <xdr:col>9</xdr:col>
      <xdr:colOff>314325</xdr:colOff>
      <xdr:row>22</xdr:row>
      <xdr:rowOff>0</xdr:rowOff>
    </xdr:to>
    <xdr:pic>
      <xdr:nvPicPr>
        <xdr:cNvPr id="3" name="Picture 3" descr="vfor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3276600"/>
          <a:ext cx="4629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5</xdr:row>
      <xdr:rowOff>66675</xdr:rowOff>
    </xdr:from>
    <xdr:to>
      <xdr:col>8</xdr:col>
      <xdr:colOff>552450</xdr:colOff>
      <xdr:row>7</xdr:row>
      <xdr:rowOff>38100</xdr:rowOff>
    </xdr:to>
    <xdr:pic>
      <xdr:nvPicPr>
        <xdr:cNvPr id="1" name="Picture 1" descr="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1381125"/>
          <a:ext cx="1143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7</xdr:row>
      <xdr:rowOff>209550</xdr:rowOff>
    </xdr:from>
    <xdr:to>
      <xdr:col>8</xdr:col>
      <xdr:colOff>561975</xdr:colOff>
      <xdr:row>9</xdr:row>
      <xdr:rowOff>161925</xdr:rowOff>
    </xdr:to>
    <xdr:pic>
      <xdr:nvPicPr>
        <xdr:cNvPr id="2" name="Picture 2" descr="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2047875"/>
          <a:ext cx="1162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285750</xdr:colOff>
      <xdr:row>6</xdr:row>
      <xdr:rowOff>171450</xdr:rowOff>
    </xdr:from>
    <xdr:to>
      <xdr:col>30</xdr:col>
      <xdr:colOff>542925</xdr:colOff>
      <xdr:row>21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0" y="1752600"/>
          <a:ext cx="459105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40</xdr:row>
      <xdr:rowOff>123825</xdr:rowOff>
    </xdr:from>
    <xdr:to>
      <xdr:col>9</xdr:col>
      <xdr:colOff>47625</xdr:colOff>
      <xdr:row>48</xdr:row>
      <xdr:rowOff>85725</xdr:rowOff>
    </xdr:to>
    <xdr:pic>
      <xdr:nvPicPr>
        <xdr:cNvPr id="1" name="Picture 1" descr="TRI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981950"/>
          <a:ext cx="17526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66</xdr:row>
      <xdr:rowOff>76200</xdr:rowOff>
    </xdr:from>
    <xdr:to>
      <xdr:col>15</xdr:col>
      <xdr:colOff>9525</xdr:colOff>
      <xdr:row>71</xdr:row>
      <xdr:rowOff>171450</xdr:rowOff>
    </xdr:to>
    <xdr:pic>
      <xdr:nvPicPr>
        <xdr:cNvPr id="2" name="Picture 2" descr="TRI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12868275"/>
          <a:ext cx="2619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21</xdr:row>
      <xdr:rowOff>76200</xdr:rowOff>
    </xdr:from>
    <xdr:to>
      <xdr:col>12</xdr:col>
      <xdr:colOff>342900</xdr:colOff>
      <xdr:row>27</xdr:row>
      <xdr:rowOff>114300</xdr:rowOff>
    </xdr:to>
    <xdr:pic>
      <xdr:nvPicPr>
        <xdr:cNvPr id="3" name="Picture 3" descr="TRI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4324350"/>
          <a:ext cx="2838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20</xdr:row>
      <xdr:rowOff>76200</xdr:rowOff>
    </xdr:from>
    <xdr:to>
      <xdr:col>6</xdr:col>
      <xdr:colOff>95250</xdr:colOff>
      <xdr:row>28</xdr:row>
      <xdr:rowOff>85725</xdr:rowOff>
    </xdr:to>
    <xdr:pic>
      <xdr:nvPicPr>
        <xdr:cNvPr id="4" name="Picture 4" descr="TRI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85925" y="4162425"/>
          <a:ext cx="1333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38</xdr:row>
      <xdr:rowOff>190500</xdr:rowOff>
    </xdr:from>
    <xdr:to>
      <xdr:col>16</xdr:col>
      <xdr:colOff>371475</xdr:colOff>
      <xdr:row>50</xdr:row>
      <xdr:rowOff>0</xdr:rowOff>
    </xdr:to>
    <xdr:pic>
      <xdr:nvPicPr>
        <xdr:cNvPr id="5" name="Picture 5" descr="sinelw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62525" y="7467600"/>
          <a:ext cx="36861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20</xdr:row>
      <xdr:rowOff>38100</xdr:rowOff>
    </xdr:from>
    <xdr:to>
      <xdr:col>3</xdr:col>
      <xdr:colOff>114300</xdr:colOff>
      <xdr:row>28</xdr:row>
      <xdr:rowOff>114300</xdr:rowOff>
    </xdr:to>
    <xdr:pic>
      <xdr:nvPicPr>
        <xdr:cNvPr id="6" name="Picture 6" descr="trir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850" y="4124325"/>
          <a:ext cx="1200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41</xdr:row>
      <xdr:rowOff>85725</xdr:rowOff>
    </xdr:from>
    <xdr:to>
      <xdr:col>4</xdr:col>
      <xdr:colOff>400050</xdr:colOff>
      <xdr:row>48</xdr:row>
      <xdr:rowOff>123825</xdr:rowOff>
    </xdr:to>
    <xdr:pic>
      <xdr:nvPicPr>
        <xdr:cNvPr id="7" name="Picture 7" descr="trino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8105775"/>
          <a:ext cx="22193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</xdr:row>
      <xdr:rowOff>9525</xdr:rowOff>
    </xdr:from>
    <xdr:to>
      <xdr:col>8</xdr:col>
      <xdr:colOff>514350</xdr:colOff>
      <xdr:row>9</xdr:row>
      <xdr:rowOff>19050</xdr:rowOff>
    </xdr:to>
    <xdr:pic>
      <xdr:nvPicPr>
        <xdr:cNvPr id="8" name="Picture 8" descr="a306090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0" y="533400"/>
          <a:ext cx="12573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</xdr:row>
      <xdr:rowOff>47625</xdr:rowOff>
    </xdr:from>
    <xdr:to>
      <xdr:col>3</xdr:col>
      <xdr:colOff>285750</xdr:colOff>
      <xdr:row>8</xdr:row>
      <xdr:rowOff>171450</xdr:rowOff>
    </xdr:to>
    <xdr:pic>
      <xdr:nvPicPr>
        <xdr:cNvPr id="9" name="Picture 9" descr="a4545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" y="571500"/>
          <a:ext cx="12668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3</xdr:row>
      <xdr:rowOff>47625</xdr:rowOff>
    </xdr:from>
    <xdr:to>
      <xdr:col>13</xdr:col>
      <xdr:colOff>685800</xdr:colOff>
      <xdr:row>6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581025"/>
          <a:ext cx="2962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371475</xdr:colOff>
      <xdr:row>2</xdr:row>
      <xdr:rowOff>95250</xdr:rowOff>
    </xdr:from>
    <xdr:to>
      <xdr:col>20</xdr:col>
      <xdr:colOff>314325</xdr:colOff>
      <xdr:row>16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428625"/>
          <a:ext cx="29908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nstuff.com/math/spoken/here/2class/320/quadequ.ht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L38" sqref="L38"/>
    </sheetView>
  </sheetViews>
  <sheetFormatPr defaultColWidth="9.140625" defaultRowHeight="12.75"/>
  <cols>
    <col min="1" max="1" width="9.140625" style="139" customWidth="1"/>
    <col min="2" max="2" width="9.140625" style="227" customWidth="1"/>
    <col min="3" max="16384" width="9.140625" style="139" customWidth="1"/>
  </cols>
  <sheetData>
    <row r="1" spans="1:13" ht="27" thickBot="1">
      <c r="A1" s="212" t="s">
        <v>274</v>
      </c>
      <c r="F1" s="213" t="s">
        <v>275</v>
      </c>
      <c r="M1" s="214" t="s">
        <v>472</v>
      </c>
    </row>
    <row r="2" spans="1:16" ht="21" thickBot="1">
      <c r="A2" s="215"/>
      <c r="B2" s="30"/>
      <c r="C2" s="217" t="s">
        <v>273</v>
      </c>
      <c r="D2" s="218"/>
      <c r="E2" s="218"/>
      <c r="F2" s="219"/>
      <c r="G2" s="218"/>
      <c r="H2" s="218"/>
      <c r="I2" s="218"/>
      <c r="J2" s="218"/>
      <c r="K2" s="218"/>
      <c r="L2" s="218"/>
      <c r="M2" s="220"/>
      <c r="N2" s="218"/>
      <c r="O2" s="218"/>
      <c r="P2" s="221"/>
    </row>
    <row r="3" spans="1:16" ht="6.75" customHeight="1">
      <c r="A3" s="215"/>
      <c r="B3" s="30"/>
      <c r="C3" s="215"/>
      <c r="D3" s="215"/>
      <c r="E3" s="215"/>
      <c r="F3" s="216"/>
      <c r="G3" s="215"/>
      <c r="H3" s="215"/>
      <c r="I3" s="215"/>
      <c r="J3" s="215"/>
      <c r="K3" s="215"/>
      <c r="L3" s="215"/>
      <c r="N3" s="215"/>
      <c r="O3" s="215"/>
      <c r="P3" s="215"/>
    </row>
    <row r="4" spans="1:14" ht="15.75">
      <c r="A4" s="215"/>
      <c r="B4" s="30" t="s">
        <v>269</v>
      </c>
      <c r="C4" s="215"/>
      <c r="D4" s="216" t="s">
        <v>270</v>
      </c>
      <c r="E4" s="215"/>
      <c r="F4" s="215"/>
      <c r="G4" s="215"/>
      <c r="H4" s="215"/>
      <c r="I4" s="215"/>
      <c r="J4" s="215"/>
      <c r="L4" s="215"/>
      <c r="M4" s="215"/>
      <c r="N4" s="215"/>
    </row>
    <row r="5" spans="1:4" ht="15.75">
      <c r="A5" s="222" t="s">
        <v>271</v>
      </c>
      <c r="B5" s="227" t="s">
        <v>272</v>
      </c>
      <c r="D5" s="223" t="s">
        <v>307</v>
      </c>
    </row>
    <row r="6" spans="1:14" ht="18">
      <c r="A6" s="222" t="s">
        <v>271</v>
      </c>
      <c r="B6" s="30" t="s">
        <v>276</v>
      </c>
      <c r="C6" s="215"/>
      <c r="D6" s="224" t="s">
        <v>308</v>
      </c>
      <c r="E6" s="215"/>
      <c r="F6" s="215"/>
      <c r="G6" s="215"/>
      <c r="H6" s="215"/>
      <c r="I6" s="215"/>
      <c r="J6" s="215"/>
      <c r="K6" s="4"/>
      <c r="L6" s="215"/>
      <c r="M6" s="215"/>
      <c r="N6" s="215"/>
    </row>
    <row r="7" spans="1:14" ht="15.75">
      <c r="A7" s="215"/>
      <c r="B7" s="30"/>
      <c r="C7" s="215"/>
      <c r="D7" s="224" t="s">
        <v>324</v>
      </c>
      <c r="E7" s="225"/>
      <c r="F7" s="215"/>
      <c r="G7" s="215"/>
      <c r="H7" s="215"/>
      <c r="I7" s="215"/>
      <c r="J7" s="215"/>
      <c r="L7" s="215"/>
      <c r="M7" s="215"/>
      <c r="N7" s="215"/>
    </row>
    <row r="8" spans="1:6" ht="15.75">
      <c r="A8" s="222" t="s">
        <v>271</v>
      </c>
      <c r="B8" s="30" t="s">
        <v>277</v>
      </c>
      <c r="C8" s="215"/>
      <c r="D8" s="323" t="s">
        <v>325</v>
      </c>
      <c r="E8" s="215"/>
      <c r="F8" s="215"/>
    </row>
    <row r="9" spans="1:6" ht="15.75">
      <c r="A9" s="222" t="s">
        <v>271</v>
      </c>
      <c r="B9" s="30" t="s">
        <v>290</v>
      </c>
      <c r="C9" s="215"/>
      <c r="D9" s="223" t="s">
        <v>285</v>
      </c>
      <c r="E9" s="30"/>
      <c r="F9" s="215"/>
    </row>
    <row r="10" spans="1:6" ht="15.75">
      <c r="A10" s="222"/>
      <c r="B10" s="30"/>
      <c r="C10" s="215"/>
      <c r="D10" s="223"/>
      <c r="E10" s="30" t="s">
        <v>297</v>
      </c>
      <c r="F10" s="215"/>
    </row>
    <row r="11" spans="1:6" ht="15.75">
      <c r="A11" s="222"/>
      <c r="B11" s="30"/>
      <c r="C11" s="215"/>
      <c r="D11" s="223" t="s">
        <v>286</v>
      </c>
      <c r="E11" s="30"/>
      <c r="F11" s="215"/>
    </row>
    <row r="12" spans="1:6" ht="15.75">
      <c r="A12" s="222"/>
      <c r="B12" s="30"/>
      <c r="C12" s="215"/>
      <c r="D12" s="223"/>
      <c r="E12" s="30" t="s">
        <v>287</v>
      </c>
      <c r="F12" s="215"/>
    </row>
    <row r="13" spans="1:6" ht="15.75">
      <c r="A13" s="215"/>
      <c r="B13" s="30"/>
      <c r="C13" s="215"/>
      <c r="D13" s="30" t="s">
        <v>288</v>
      </c>
      <c r="E13" s="227"/>
      <c r="F13" s="215"/>
    </row>
    <row r="14" spans="1:6" ht="15.75">
      <c r="A14" s="222" t="s">
        <v>271</v>
      </c>
      <c r="B14" s="30" t="s">
        <v>334</v>
      </c>
      <c r="C14" s="215"/>
      <c r="D14" s="223" t="s">
        <v>291</v>
      </c>
      <c r="E14" s="215"/>
      <c r="F14" s="215"/>
    </row>
    <row r="15" spans="1:6" ht="15.75">
      <c r="A15" s="215"/>
      <c r="B15" s="30"/>
      <c r="C15" s="215"/>
      <c r="D15" s="223" t="s">
        <v>151</v>
      </c>
      <c r="E15" s="225"/>
      <c r="F15" s="215"/>
    </row>
    <row r="16" spans="1:6" ht="15.75">
      <c r="A16" s="215"/>
      <c r="B16" s="30"/>
      <c r="C16" s="215"/>
      <c r="D16" s="223" t="s">
        <v>162</v>
      </c>
      <c r="E16" s="225"/>
      <c r="F16" s="215"/>
    </row>
    <row r="17" spans="1:6" ht="15.75">
      <c r="A17" s="215"/>
      <c r="B17" s="30"/>
      <c r="C17" s="215"/>
      <c r="D17" s="223" t="s">
        <v>326</v>
      </c>
      <c r="E17" s="30"/>
      <c r="F17" s="215"/>
    </row>
    <row r="18" spans="1:6" ht="15.75">
      <c r="A18" s="222" t="s">
        <v>271</v>
      </c>
      <c r="B18" s="30" t="s">
        <v>278</v>
      </c>
      <c r="C18" s="215"/>
      <c r="D18" s="224" t="s">
        <v>330</v>
      </c>
      <c r="E18" s="215"/>
      <c r="F18" s="215"/>
    </row>
    <row r="19" spans="1:6" ht="15.75">
      <c r="A19" s="215"/>
      <c r="B19" s="30"/>
      <c r="C19" s="215"/>
      <c r="D19" s="223" t="s">
        <v>332</v>
      </c>
      <c r="E19" s="225"/>
      <c r="F19" s="215"/>
    </row>
    <row r="20" spans="1:6" ht="15.75">
      <c r="A20" s="222" t="s">
        <v>271</v>
      </c>
      <c r="B20" s="30" t="s">
        <v>339</v>
      </c>
      <c r="C20" s="215"/>
      <c r="D20" s="224" t="s">
        <v>340</v>
      </c>
      <c r="E20" s="215"/>
      <c r="F20" s="215"/>
    </row>
    <row r="21" spans="1:6" ht="15.75">
      <c r="A21" s="215"/>
      <c r="B21" s="30"/>
      <c r="C21" s="215"/>
      <c r="D21" s="216"/>
      <c r="E21" s="225"/>
      <c r="F21" s="215"/>
    </row>
    <row r="22" spans="1:6" ht="15.75">
      <c r="A22" s="222" t="s">
        <v>271</v>
      </c>
      <c r="B22" s="30" t="s">
        <v>341</v>
      </c>
      <c r="C22" s="215"/>
      <c r="D22" s="224" t="s">
        <v>342</v>
      </c>
      <c r="E22" s="215"/>
      <c r="F22" s="215"/>
    </row>
    <row r="23" spans="1:6" ht="15.75">
      <c r="A23" s="215"/>
      <c r="B23" s="30"/>
      <c r="C23" s="215"/>
      <c r="D23" s="223" t="s">
        <v>369</v>
      </c>
      <c r="E23" s="30"/>
      <c r="F23" s="215"/>
    </row>
    <row r="24" spans="1:6" ht="15.75">
      <c r="A24" s="215"/>
      <c r="B24" s="30"/>
      <c r="C24" s="215"/>
      <c r="D24" s="216"/>
      <c r="E24" s="30"/>
      <c r="F24" s="215"/>
    </row>
    <row r="25" spans="1:6" ht="15.75">
      <c r="A25" s="222" t="s">
        <v>271</v>
      </c>
      <c r="B25" s="30" t="s">
        <v>279</v>
      </c>
      <c r="C25" s="215"/>
      <c r="D25" s="224"/>
      <c r="E25" s="215"/>
      <c r="F25" s="215"/>
    </row>
    <row r="26" spans="1:6" ht="15.75">
      <c r="A26" s="215"/>
      <c r="B26" s="30"/>
      <c r="C26" s="215"/>
      <c r="D26" s="216"/>
      <c r="E26" s="225"/>
      <c r="F26" s="215"/>
    </row>
    <row r="27" spans="1:6" ht="15.75">
      <c r="A27" s="222" t="s">
        <v>271</v>
      </c>
      <c r="B27" s="30" t="s">
        <v>392</v>
      </c>
      <c r="C27" s="215"/>
      <c r="D27" s="223" t="s">
        <v>393</v>
      </c>
      <c r="E27" s="225"/>
      <c r="F27" s="215"/>
    </row>
    <row r="28" spans="1:6" ht="15.75">
      <c r="A28" s="215"/>
      <c r="B28" s="30"/>
      <c r="C28" s="215"/>
      <c r="D28" s="216"/>
      <c r="E28" s="30"/>
      <c r="F28" s="215"/>
    </row>
    <row r="29" spans="1:6" ht="15.75">
      <c r="A29" s="222" t="s">
        <v>271</v>
      </c>
      <c r="B29" s="30" t="s">
        <v>496</v>
      </c>
      <c r="C29" s="215"/>
      <c r="D29" s="216" t="s">
        <v>497</v>
      </c>
      <c r="E29" s="30"/>
      <c r="F29" s="215"/>
    </row>
    <row r="30" spans="1:6" ht="15.75">
      <c r="A30" s="222"/>
      <c r="B30" s="30"/>
      <c r="C30" s="215"/>
      <c r="D30" s="224"/>
      <c r="E30" s="215"/>
      <c r="F30" s="215"/>
    </row>
    <row r="31" spans="1:6" ht="15.75">
      <c r="A31" s="215"/>
      <c r="B31" s="30"/>
      <c r="C31" s="215"/>
      <c r="D31" s="216"/>
      <c r="E31" s="30"/>
      <c r="F31" s="215"/>
    </row>
    <row r="32" spans="1:6" ht="15.75">
      <c r="A32" s="222" t="s">
        <v>271</v>
      </c>
      <c r="B32" s="30" t="s">
        <v>280</v>
      </c>
      <c r="C32" s="215"/>
      <c r="D32" s="224" t="s">
        <v>208</v>
      </c>
      <c r="E32" s="215"/>
      <c r="F32" s="215"/>
    </row>
    <row r="33" spans="1:6" ht="15.75">
      <c r="A33" s="215"/>
      <c r="B33" s="30"/>
      <c r="C33" s="215"/>
      <c r="D33" s="216"/>
      <c r="E33" s="225" t="s">
        <v>209</v>
      </c>
      <c r="F33" s="215"/>
    </row>
    <row r="34" spans="1:6" ht="15.75">
      <c r="A34" s="215"/>
      <c r="B34" s="30"/>
      <c r="C34" s="215"/>
      <c r="D34" s="216"/>
      <c r="E34" s="225" t="s">
        <v>210</v>
      </c>
      <c r="F34" s="215"/>
    </row>
    <row r="35" spans="1:6" ht="15.75">
      <c r="A35" s="215"/>
      <c r="B35" s="30"/>
      <c r="C35" s="215"/>
      <c r="D35" s="216" t="s">
        <v>224</v>
      </c>
      <c r="E35" s="30"/>
      <c r="F35" s="215"/>
    </row>
    <row r="36" spans="1:6" ht="15.75">
      <c r="A36" s="215"/>
      <c r="B36" s="30"/>
      <c r="C36" s="215"/>
      <c r="D36" s="216"/>
      <c r="E36" s="30" t="s">
        <v>225</v>
      </c>
      <c r="F36" s="215"/>
    </row>
    <row r="37" spans="4:6" ht="15.75">
      <c r="D37" s="224"/>
      <c r="E37" s="215" t="s">
        <v>226</v>
      </c>
      <c r="F37" s="215"/>
    </row>
    <row r="38" spans="1:6" ht="15.75">
      <c r="A38" s="215"/>
      <c r="B38" s="30"/>
      <c r="C38" s="215"/>
      <c r="D38" s="216"/>
      <c r="E38" s="225" t="s">
        <v>227</v>
      </c>
      <c r="F38" s="215"/>
    </row>
    <row r="39" spans="1:6" ht="15.75">
      <c r="A39" s="215"/>
      <c r="B39" s="30"/>
      <c r="C39" s="215"/>
      <c r="D39" s="216" t="s">
        <v>237</v>
      </c>
      <c r="E39" s="225"/>
      <c r="F39" s="215"/>
    </row>
    <row r="40" spans="1:6" ht="15.75">
      <c r="A40" s="215"/>
      <c r="B40" s="30"/>
      <c r="C40" s="215"/>
      <c r="D40" s="216" t="s">
        <v>238</v>
      </c>
      <c r="E40" s="30"/>
      <c r="F40" s="215"/>
    </row>
    <row r="41" spans="1:6" ht="15.75">
      <c r="A41" s="215"/>
      <c r="B41" s="30"/>
      <c r="C41" s="215"/>
      <c r="D41" s="216"/>
      <c r="E41" s="30" t="s">
        <v>239</v>
      </c>
      <c r="F41" s="215"/>
    </row>
    <row r="42" spans="1:6" ht="15.75">
      <c r="A42" s="222"/>
      <c r="B42" s="30"/>
      <c r="C42" s="215"/>
      <c r="D42" s="224"/>
      <c r="E42" s="215" t="s">
        <v>335</v>
      </c>
      <c r="F42" s="215"/>
    </row>
    <row r="43" spans="1:6" ht="15.75">
      <c r="A43" s="215"/>
      <c r="B43" s="30"/>
      <c r="C43" s="215"/>
      <c r="D43" s="216"/>
      <c r="E43" s="225" t="s">
        <v>336</v>
      </c>
      <c r="F43" s="215"/>
    </row>
    <row r="44" spans="1:6" ht="15.75">
      <c r="A44" s="215"/>
      <c r="B44" s="30"/>
      <c r="C44" s="215"/>
      <c r="D44" s="216" t="s">
        <v>263</v>
      </c>
      <c r="E44" s="225"/>
      <c r="F44" s="215"/>
    </row>
    <row r="45" spans="1:6" ht="15.75">
      <c r="A45" s="215"/>
      <c r="B45" s="30"/>
      <c r="C45" s="215"/>
      <c r="D45" s="216"/>
      <c r="E45" s="30" t="s">
        <v>264</v>
      </c>
      <c r="F45" s="215"/>
    </row>
    <row r="46" spans="1:6" ht="15.75">
      <c r="A46" s="215"/>
      <c r="B46" s="30"/>
      <c r="C46" s="215"/>
      <c r="D46" s="216"/>
      <c r="E46" s="30" t="s">
        <v>337</v>
      </c>
      <c r="F46" s="215"/>
    </row>
    <row r="47" spans="1:6" ht="15.75">
      <c r="A47" s="222"/>
      <c r="B47" s="30"/>
      <c r="C47" s="215"/>
      <c r="D47" s="224"/>
      <c r="E47" s="215" t="s">
        <v>338</v>
      </c>
      <c r="F47" s="215"/>
    </row>
    <row r="48" spans="1:6" ht="15.75">
      <c r="A48" s="215"/>
      <c r="B48" s="30"/>
      <c r="C48" s="215"/>
      <c r="D48" s="216"/>
      <c r="E48" s="225"/>
      <c r="F48" s="215"/>
    </row>
    <row r="49" spans="1:6" ht="15.75">
      <c r="A49" s="222" t="s">
        <v>271</v>
      </c>
      <c r="B49" s="30" t="s">
        <v>281</v>
      </c>
      <c r="C49" s="215"/>
      <c r="D49" s="216" t="s">
        <v>495</v>
      </c>
      <c r="E49" s="225"/>
      <c r="F49" s="215"/>
    </row>
    <row r="50" spans="1:6" ht="15.75">
      <c r="A50" s="215"/>
      <c r="B50" s="30"/>
      <c r="C50" s="215"/>
      <c r="D50" s="216"/>
      <c r="E50" s="225"/>
      <c r="F50" s="215"/>
    </row>
    <row r="51" spans="1:6" ht="15.75">
      <c r="A51" s="215"/>
      <c r="B51" s="30"/>
      <c r="C51" s="215"/>
      <c r="D51" s="216"/>
      <c r="E51" s="225"/>
      <c r="F51" s="215"/>
    </row>
    <row r="52" spans="1:6" ht="15.75">
      <c r="A52" s="215"/>
      <c r="B52" s="30"/>
      <c r="C52" s="215"/>
      <c r="D52" s="216"/>
      <c r="E52" s="30"/>
      <c r="F52" s="215"/>
    </row>
    <row r="53" spans="1:6" ht="15.75">
      <c r="A53" s="215"/>
      <c r="B53" s="30"/>
      <c r="C53" s="215"/>
      <c r="D53" s="216"/>
      <c r="E53" s="30"/>
      <c r="F53" s="215"/>
    </row>
    <row r="54" spans="1:6" ht="15.75">
      <c r="A54" s="222" t="s">
        <v>271</v>
      </c>
      <c r="B54" s="30"/>
      <c r="C54" s="215"/>
      <c r="D54" s="223"/>
      <c r="E54" s="30"/>
      <c r="F54" s="30"/>
    </row>
    <row r="55" spans="1:6" ht="15.75">
      <c r="A55" s="215"/>
      <c r="B55" s="30"/>
      <c r="C55" s="215"/>
      <c r="D55" s="223"/>
      <c r="E55" s="30"/>
      <c r="F55" s="30"/>
    </row>
    <row r="56" spans="1:6" ht="15.75">
      <c r="A56" s="215"/>
      <c r="B56" s="30"/>
      <c r="C56" s="215"/>
      <c r="D56" s="223"/>
      <c r="E56" s="30"/>
      <c r="F56" s="30"/>
    </row>
    <row r="57" spans="1:6" ht="15.75">
      <c r="A57" s="215"/>
      <c r="B57" s="30"/>
      <c r="C57" s="215"/>
      <c r="D57" s="223"/>
      <c r="E57" s="30"/>
      <c r="F57" s="30"/>
    </row>
    <row r="58" spans="4:6" ht="15.75">
      <c r="D58" s="30"/>
      <c r="E58" s="227"/>
      <c r="F58" s="22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66"/>
  <sheetViews>
    <sheetView zoomScalePageLayoutView="0" workbookViewId="0" topLeftCell="A1">
      <selection activeCell="J20" sqref="J20"/>
    </sheetView>
  </sheetViews>
  <sheetFormatPr defaultColWidth="9.140625" defaultRowHeight="12.75"/>
  <sheetData>
    <row r="1" spans="4:7" ht="20.25">
      <c r="D1" s="2" t="s">
        <v>328</v>
      </c>
      <c r="E1" s="287"/>
      <c r="F1" s="287"/>
      <c r="G1" s="287"/>
    </row>
    <row r="2" spans="2:21" ht="21" thickBot="1">
      <c r="B2" s="179"/>
      <c r="C2" s="179"/>
      <c r="H2" s="287"/>
      <c r="I2" s="287"/>
      <c r="J2" s="287"/>
      <c r="K2" s="287"/>
      <c r="L2" s="179" t="s">
        <v>298</v>
      </c>
      <c r="M2" s="179"/>
      <c r="N2" s="179"/>
      <c r="O2" s="179"/>
      <c r="P2" s="179"/>
      <c r="Q2" s="179"/>
      <c r="R2" s="179"/>
      <c r="S2" s="179"/>
      <c r="T2" s="179"/>
      <c r="U2" s="179"/>
    </row>
    <row r="3" spans="2:21" ht="21" thickBot="1">
      <c r="B3" s="179"/>
      <c r="C3" s="179"/>
      <c r="D3" s="122" t="s">
        <v>305</v>
      </c>
      <c r="E3" s="123"/>
      <c r="F3" s="123"/>
      <c r="G3" s="123"/>
      <c r="H3" s="230"/>
      <c r="I3" s="247"/>
      <c r="J3" s="288"/>
      <c r="K3" s="288"/>
      <c r="L3" s="271" t="s">
        <v>299</v>
      </c>
      <c r="M3" s="272">
        <f>U8</f>
        <v>-1.8536585365853662</v>
      </c>
      <c r="N3" s="273" t="s">
        <v>300</v>
      </c>
      <c r="O3" s="274">
        <f>U19</f>
        <v>0.1219512195121951</v>
      </c>
      <c r="P3" s="275" t="s">
        <v>301</v>
      </c>
      <c r="Q3" s="276">
        <f>U30</f>
        <v>0.3170731707317074</v>
      </c>
      <c r="R3" s="277" t="s">
        <v>302</v>
      </c>
      <c r="S3" s="278">
        <f>U41</f>
        <v>1.2256097560975614</v>
      </c>
      <c r="T3" s="179"/>
      <c r="U3" s="147"/>
    </row>
    <row r="4" spans="2:21" ht="20.25">
      <c r="B4" s="179"/>
      <c r="C4" s="179"/>
      <c r="D4" s="290"/>
      <c r="E4" s="287"/>
      <c r="F4" s="287"/>
      <c r="G4" s="287"/>
      <c r="H4" s="287"/>
      <c r="I4" s="291"/>
      <c r="J4" s="270"/>
      <c r="K4" s="270"/>
      <c r="L4" s="25"/>
      <c r="M4" s="25"/>
      <c r="N4" s="25"/>
      <c r="O4" s="25"/>
      <c r="P4" s="25"/>
      <c r="Q4" s="25"/>
      <c r="R4" s="279"/>
      <c r="S4" s="187"/>
      <c r="T4" s="187"/>
      <c r="U4" s="187"/>
    </row>
    <row r="5" spans="2:21" ht="20.25">
      <c r="B5" s="179"/>
      <c r="C5" s="179"/>
      <c r="D5" s="7">
        <v>1</v>
      </c>
      <c r="E5" s="292">
        <v>0</v>
      </c>
      <c r="F5" s="292">
        <v>3</v>
      </c>
      <c r="G5" s="292">
        <v>4</v>
      </c>
      <c r="H5" s="287"/>
      <c r="I5" s="293">
        <v>4</v>
      </c>
      <c r="J5" s="270"/>
      <c r="K5" s="270"/>
      <c r="L5" s="280"/>
      <c r="M5" s="546">
        <f>I5</f>
        <v>4</v>
      </c>
      <c r="N5" s="281">
        <f aca="true" t="shared" si="0" ref="N5:P8">E5</f>
        <v>0</v>
      </c>
      <c r="O5" s="281">
        <f t="shared" si="0"/>
        <v>3</v>
      </c>
      <c r="P5" s="550">
        <f t="shared" si="0"/>
        <v>4</v>
      </c>
      <c r="Q5" s="270"/>
      <c r="R5" s="270"/>
      <c r="S5" s="270"/>
      <c r="T5" s="270"/>
      <c r="U5" s="270"/>
    </row>
    <row r="6" spans="2:21" ht="20.25">
      <c r="B6" s="179"/>
      <c r="C6" s="179"/>
      <c r="D6" s="7">
        <v>5</v>
      </c>
      <c r="E6" s="292">
        <v>2</v>
      </c>
      <c r="F6" s="292">
        <v>7</v>
      </c>
      <c r="G6" s="292">
        <v>8</v>
      </c>
      <c r="H6" s="287"/>
      <c r="I6" s="293">
        <v>3</v>
      </c>
      <c r="J6" s="287"/>
      <c r="K6" s="287"/>
      <c r="L6" s="280"/>
      <c r="M6" s="546">
        <f>I6</f>
        <v>3</v>
      </c>
      <c r="N6" s="281">
        <f t="shared" si="0"/>
        <v>2</v>
      </c>
      <c r="O6" s="281">
        <f t="shared" si="0"/>
        <v>7</v>
      </c>
      <c r="P6" s="550">
        <f t="shared" si="0"/>
        <v>8</v>
      </c>
      <c r="Q6" s="280"/>
      <c r="R6" s="280"/>
      <c r="S6" s="280"/>
      <c r="T6" s="280"/>
      <c r="U6" s="280"/>
    </row>
    <row r="7" spans="2:21" ht="20.25">
      <c r="B7" s="179"/>
      <c r="C7" s="179"/>
      <c r="D7" s="7">
        <v>1</v>
      </c>
      <c r="E7" s="292">
        <v>3</v>
      </c>
      <c r="F7" s="292">
        <v>11</v>
      </c>
      <c r="G7" s="292">
        <v>0</v>
      </c>
      <c r="H7" s="287"/>
      <c r="I7" s="293">
        <v>2</v>
      </c>
      <c r="J7" s="287"/>
      <c r="K7" s="287"/>
      <c r="L7" s="280"/>
      <c r="M7" s="546">
        <f>I7</f>
        <v>2</v>
      </c>
      <c r="N7" s="281">
        <f t="shared" si="0"/>
        <v>3</v>
      </c>
      <c r="O7" s="281">
        <f t="shared" si="0"/>
        <v>11</v>
      </c>
      <c r="P7" s="550">
        <f t="shared" si="0"/>
        <v>0</v>
      </c>
      <c r="Q7" s="280"/>
      <c r="R7" s="280" t="s">
        <v>303</v>
      </c>
      <c r="S7" s="280"/>
      <c r="T7" s="280"/>
      <c r="U7" s="280" t="s">
        <v>304</v>
      </c>
    </row>
    <row r="8" spans="2:21" ht="21" thickBot="1">
      <c r="B8" s="179"/>
      <c r="C8" s="179"/>
      <c r="D8" s="294">
        <v>1</v>
      </c>
      <c r="E8" s="131">
        <v>0</v>
      </c>
      <c r="F8" s="131">
        <v>9</v>
      </c>
      <c r="G8" s="131">
        <v>0</v>
      </c>
      <c r="H8" s="295"/>
      <c r="I8" s="132">
        <v>1</v>
      </c>
      <c r="J8" s="287"/>
      <c r="K8" s="287"/>
      <c r="L8" s="280" t="s">
        <v>299</v>
      </c>
      <c r="M8" s="546">
        <f>I8</f>
        <v>1</v>
      </c>
      <c r="N8" s="281">
        <f t="shared" si="0"/>
        <v>0</v>
      </c>
      <c r="O8" s="281">
        <f t="shared" si="0"/>
        <v>9</v>
      </c>
      <c r="P8" s="550">
        <f t="shared" si="0"/>
        <v>0</v>
      </c>
      <c r="Q8" s="280" t="s">
        <v>42</v>
      </c>
      <c r="R8" s="281">
        <f>MDETERM(M5:P8)</f>
        <v>608</v>
      </c>
      <c r="S8" s="25"/>
      <c r="T8" s="280" t="s">
        <v>42</v>
      </c>
      <c r="U8" s="281">
        <f>R8/R12</f>
        <v>-1.8536585365853662</v>
      </c>
    </row>
    <row r="9" spans="2:21" ht="21" thickBot="1">
      <c r="B9" s="179"/>
      <c r="C9" s="179" t="s">
        <v>306</v>
      </c>
      <c r="D9" s="288"/>
      <c r="E9" s="288"/>
      <c r="F9" s="288"/>
      <c r="G9" s="288"/>
      <c r="H9" s="288"/>
      <c r="I9" s="288"/>
      <c r="J9" s="288"/>
      <c r="K9" s="187"/>
      <c r="L9" s="280"/>
      <c r="M9" s="282"/>
      <c r="N9" s="282"/>
      <c r="O9" s="282"/>
      <c r="P9" s="280"/>
      <c r="Q9" s="280"/>
      <c r="R9" s="282"/>
      <c r="S9" s="25"/>
      <c r="T9" s="280"/>
      <c r="U9" s="280"/>
    </row>
    <row r="10" spans="2:21" ht="18">
      <c r="B10" s="297"/>
      <c r="C10" s="297"/>
      <c r="D10" s="297"/>
      <c r="E10" s="297"/>
      <c r="F10" s="297"/>
      <c r="G10" s="297"/>
      <c r="H10" s="297"/>
      <c r="I10" s="297"/>
      <c r="J10" s="297"/>
      <c r="K10" s="187"/>
      <c r="L10" s="280"/>
      <c r="M10" s="280"/>
      <c r="N10" s="280"/>
      <c r="O10" s="280"/>
      <c r="P10" s="280"/>
      <c r="Q10" s="280"/>
      <c r="R10" s="280"/>
      <c r="S10" s="25"/>
      <c r="T10" s="280"/>
      <c r="U10" s="280"/>
    </row>
    <row r="11" spans="2:21" ht="18.75" thickBot="1">
      <c r="B11" s="23" t="s">
        <v>327</v>
      </c>
      <c r="C11" s="23"/>
      <c r="D11" s="23"/>
      <c r="E11" s="23"/>
      <c r="F11" s="23"/>
      <c r="G11" s="297"/>
      <c r="H11" s="297"/>
      <c r="I11" s="297"/>
      <c r="J11" s="297"/>
      <c r="K11" s="187"/>
      <c r="L11" s="280"/>
      <c r="M11" s="547">
        <f aca="true" t="shared" si="1" ref="M11:P14">D5</f>
        <v>1</v>
      </c>
      <c r="N11" s="226">
        <f t="shared" si="1"/>
        <v>0</v>
      </c>
      <c r="O11" s="226">
        <f t="shared" si="1"/>
        <v>3</v>
      </c>
      <c r="P11" s="551">
        <f t="shared" si="1"/>
        <v>4</v>
      </c>
      <c r="Q11" s="280"/>
      <c r="R11" s="280"/>
      <c r="S11" s="25"/>
      <c r="T11" s="280"/>
      <c r="U11" s="280"/>
    </row>
    <row r="12" spans="2:21" ht="18">
      <c r="B12" s="46" t="s">
        <v>70</v>
      </c>
      <c r="C12" s="47"/>
      <c r="D12" s="47"/>
      <c r="E12" s="47"/>
      <c r="F12" s="48"/>
      <c r="G12" s="46" t="s">
        <v>70</v>
      </c>
      <c r="H12" s="47"/>
      <c r="I12" s="47"/>
      <c r="J12" s="47"/>
      <c r="K12" s="48"/>
      <c r="L12" s="270"/>
      <c r="M12" s="547">
        <f t="shared" si="1"/>
        <v>5</v>
      </c>
      <c r="N12" s="226">
        <f t="shared" si="1"/>
        <v>2</v>
      </c>
      <c r="O12" s="226">
        <f t="shared" si="1"/>
        <v>7</v>
      </c>
      <c r="P12" s="551">
        <f t="shared" si="1"/>
        <v>8</v>
      </c>
      <c r="Q12" s="280"/>
      <c r="R12" s="226">
        <f>MDETERM(M11:P14)</f>
        <v>-327.99999999999994</v>
      </c>
      <c r="S12" s="25"/>
      <c r="T12" s="280"/>
      <c r="U12" s="280"/>
    </row>
    <row r="13" spans="2:21" ht="18">
      <c r="B13" s="61" t="s">
        <v>72</v>
      </c>
      <c r="C13" s="22"/>
      <c r="D13" s="22"/>
      <c r="E13" s="62" t="s">
        <v>34</v>
      </c>
      <c r="F13" s="63"/>
      <c r="G13" s="61" t="s">
        <v>72</v>
      </c>
      <c r="H13" s="22"/>
      <c r="I13" s="22"/>
      <c r="J13" s="62" t="s">
        <v>34</v>
      </c>
      <c r="K13" s="64"/>
      <c r="L13" s="280"/>
      <c r="M13" s="547">
        <f t="shared" si="1"/>
        <v>1</v>
      </c>
      <c r="N13" s="226">
        <f t="shared" si="1"/>
        <v>3</v>
      </c>
      <c r="O13" s="226">
        <f t="shared" si="1"/>
        <v>11</v>
      </c>
      <c r="P13" s="551">
        <f t="shared" si="1"/>
        <v>0</v>
      </c>
      <c r="Q13" s="280"/>
      <c r="R13" s="280"/>
      <c r="S13" s="25"/>
      <c r="T13" s="280"/>
      <c r="U13" s="280"/>
    </row>
    <row r="14" spans="2:21" ht="18">
      <c r="B14" s="61"/>
      <c r="C14" s="22"/>
      <c r="D14" s="22"/>
      <c r="E14" s="22"/>
      <c r="F14" s="64"/>
      <c r="G14" s="61"/>
      <c r="H14" s="22"/>
      <c r="I14" s="22"/>
      <c r="J14" s="49" t="s">
        <v>90</v>
      </c>
      <c r="K14" s="64"/>
      <c r="L14" s="280"/>
      <c r="M14" s="547">
        <f t="shared" si="1"/>
        <v>1</v>
      </c>
      <c r="N14" s="226">
        <f t="shared" si="1"/>
        <v>0</v>
      </c>
      <c r="O14" s="226">
        <f t="shared" si="1"/>
        <v>9</v>
      </c>
      <c r="P14" s="551">
        <f t="shared" si="1"/>
        <v>0</v>
      </c>
      <c r="Q14" s="280"/>
      <c r="R14" s="280"/>
      <c r="S14" s="25"/>
      <c r="T14" s="280"/>
      <c r="U14" s="280"/>
    </row>
    <row r="15" spans="2:21" ht="18">
      <c r="B15" s="61" t="s">
        <v>75</v>
      </c>
      <c r="C15" s="22" t="s">
        <v>76</v>
      </c>
      <c r="D15" s="22" t="s">
        <v>77</v>
      </c>
      <c r="E15" s="22"/>
      <c r="F15" s="64"/>
      <c r="G15" s="61" t="s">
        <v>75</v>
      </c>
      <c r="H15" s="22" t="s">
        <v>76</v>
      </c>
      <c r="I15" s="22" t="s">
        <v>77</v>
      </c>
      <c r="J15" s="22"/>
      <c r="K15" s="64"/>
      <c r="L15" s="280"/>
      <c r="M15" s="25"/>
      <c r="N15" s="25"/>
      <c r="O15" s="25"/>
      <c r="P15" s="25"/>
      <c r="Q15" s="25"/>
      <c r="R15" s="25"/>
      <c r="S15" s="25"/>
      <c r="T15" s="25"/>
      <c r="U15" s="25"/>
    </row>
    <row r="16" spans="2:21" ht="18">
      <c r="B16" s="61" t="s">
        <v>79</v>
      </c>
      <c r="C16" s="22" t="s">
        <v>80</v>
      </c>
      <c r="D16" s="22" t="s">
        <v>81</v>
      </c>
      <c r="E16" s="2" t="s">
        <v>82</v>
      </c>
      <c r="F16" s="63" t="s">
        <v>83</v>
      </c>
      <c r="G16" s="61" t="s">
        <v>79</v>
      </c>
      <c r="H16" s="22" t="s">
        <v>80</v>
      </c>
      <c r="I16" s="22" t="s">
        <v>81</v>
      </c>
      <c r="J16" s="2" t="s">
        <v>82</v>
      </c>
      <c r="K16" s="63" t="s">
        <v>83</v>
      </c>
      <c r="L16" s="280"/>
      <c r="M16" s="284">
        <f>D5</f>
        <v>1</v>
      </c>
      <c r="N16" s="283">
        <f>I5</f>
        <v>4</v>
      </c>
      <c r="O16" s="283">
        <f aca="true" t="shared" si="2" ref="O16:P19">F5</f>
        <v>3</v>
      </c>
      <c r="P16" s="285">
        <f t="shared" si="2"/>
        <v>4</v>
      </c>
      <c r="Q16" s="25"/>
      <c r="R16" s="25"/>
      <c r="S16" s="25"/>
      <c r="T16" s="25"/>
      <c r="U16" s="25"/>
    </row>
    <row r="17" spans="2:21" ht="18">
      <c r="B17" s="67">
        <v>2</v>
      </c>
      <c r="C17" s="2">
        <v>3</v>
      </c>
      <c r="D17" s="2">
        <v>4</v>
      </c>
      <c r="E17" s="62">
        <f>(D17*C18-C17*D18)/(B17*C18-C17*B18)</f>
        <v>1.25</v>
      </c>
      <c r="F17" s="68">
        <f>(B17*D18-D17*B18)/(B17*C18-C17*B18)</f>
        <v>0.5</v>
      </c>
      <c r="G17" s="103">
        <f aca="true" ca="1" t="shared" si="3" ref="G17:I18">INT(-12+12*RAND())</f>
        <v>-9</v>
      </c>
      <c r="H17" s="103">
        <f ca="1" t="shared" si="3"/>
        <v>-12</v>
      </c>
      <c r="I17" s="103">
        <f ca="1" t="shared" si="3"/>
        <v>-5</v>
      </c>
      <c r="J17" s="62">
        <f>(I17*H18-H17*I18)/(G17*H18-H17*G18)</f>
        <v>-1.6666666666666667</v>
      </c>
      <c r="K17" s="68">
        <f>(G17*I18-I17*G18)/(G17*H18-H17*G18)</f>
        <v>1.6666666666666667</v>
      </c>
      <c r="L17" s="270"/>
      <c r="M17" s="284">
        <f>D6</f>
        <v>5</v>
      </c>
      <c r="N17" s="283">
        <f>I6</f>
        <v>3</v>
      </c>
      <c r="O17" s="283">
        <f t="shared" si="2"/>
        <v>7</v>
      </c>
      <c r="P17" s="285">
        <f t="shared" si="2"/>
        <v>8</v>
      </c>
      <c r="Q17" s="280"/>
      <c r="R17" s="280"/>
      <c r="S17" s="25"/>
      <c r="T17" s="280"/>
      <c r="U17" s="280"/>
    </row>
    <row r="18" spans="2:21" ht="18.75" thickBot="1">
      <c r="B18" s="72">
        <v>4</v>
      </c>
      <c r="C18" s="27">
        <v>2</v>
      </c>
      <c r="D18" s="27">
        <v>6</v>
      </c>
      <c r="E18" s="28"/>
      <c r="F18" s="73"/>
      <c r="G18" s="142">
        <f ca="1" t="shared" si="3"/>
        <v>-3</v>
      </c>
      <c r="H18" s="142">
        <f ca="1" t="shared" si="3"/>
        <v>-9</v>
      </c>
      <c r="I18" s="142">
        <f ca="1" t="shared" si="3"/>
        <v>-10</v>
      </c>
      <c r="J18" s="28"/>
      <c r="K18" s="73"/>
      <c r="L18" s="270"/>
      <c r="M18" s="284">
        <f>D7</f>
        <v>1</v>
      </c>
      <c r="N18" s="283">
        <f>I7</f>
        <v>2</v>
      </c>
      <c r="O18" s="283">
        <f t="shared" si="2"/>
        <v>11</v>
      </c>
      <c r="P18" s="285">
        <f t="shared" si="2"/>
        <v>0</v>
      </c>
      <c r="Q18" s="280"/>
      <c r="R18" s="280"/>
      <c r="S18" s="25"/>
      <c r="T18" s="280"/>
      <c r="U18" s="280"/>
    </row>
    <row r="19" spans="2:21" ht="20.25">
      <c r="B19" s="288"/>
      <c r="C19" s="288"/>
      <c r="D19" s="288"/>
      <c r="E19" s="288"/>
      <c r="F19" s="288"/>
      <c r="G19" s="288"/>
      <c r="H19" s="288" t="s">
        <v>488</v>
      </c>
      <c r="I19" s="288"/>
      <c r="J19" s="288"/>
      <c r="K19" s="187"/>
      <c r="L19" s="280" t="s">
        <v>300</v>
      </c>
      <c r="M19" s="284">
        <f>D8</f>
        <v>1</v>
      </c>
      <c r="N19" s="283">
        <f>I8</f>
        <v>1</v>
      </c>
      <c r="O19" s="285">
        <f t="shared" si="2"/>
        <v>9</v>
      </c>
      <c r="P19" s="285">
        <f t="shared" si="2"/>
        <v>0</v>
      </c>
      <c r="Q19" s="280" t="s">
        <v>42</v>
      </c>
      <c r="R19" s="283">
        <f>MDETERM(M16:P19)</f>
        <v>-39.999999999999986</v>
      </c>
      <c r="S19" s="25"/>
      <c r="T19" s="280" t="s">
        <v>42</v>
      </c>
      <c r="U19" s="283">
        <f>R19/R23</f>
        <v>0.1219512195121951</v>
      </c>
    </row>
    <row r="20" spans="2:21" ht="21" thickBot="1">
      <c r="B20" s="296"/>
      <c r="C20" s="296"/>
      <c r="D20" s="296"/>
      <c r="E20" s="296"/>
      <c r="F20" s="296"/>
      <c r="G20" s="296"/>
      <c r="H20" s="296"/>
      <c r="I20" s="296"/>
      <c r="J20" s="296"/>
      <c r="K20" s="187"/>
      <c r="L20" s="280"/>
      <c r="M20" s="282"/>
      <c r="N20" s="282"/>
      <c r="O20" s="282"/>
      <c r="P20" s="280"/>
      <c r="Q20" s="280"/>
      <c r="R20" s="282"/>
      <c r="S20" s="25"/>
      <c r="T20" s="280"/>
      <c r="U20" s="280"/>
    </row>
    <row r="21" spans="2:21" ht="20.25">
      <c r="B21" s="187"/>
      <c r="C21" s="187"/>
      <c r="D21" s="187"/>
      <c r="E21" s="187"/>
      <c r="F21" s="187"/>
      <c r="G21" s="187"/>
      <c r="H21" s="187"/>
      <c r="I21" s="187"/>
      <c r="J21" s="187"/>
      <c r="K21" s="296"/>
      <c r="L21" s="280"/>
      <c r="M21" s="280"/>
      <c r="N21" s="280"/>
      <c r="O21" s="280"/>
      <c r="P21" s="280"/>
      <c r="Q21" s="280"/>
      <c r="R21" s="280"/>
      <c r="S21" s="25"/>
      <c r="T21" s="280"/>
      <c r="U21" s="280"/>
    </row>
    <row r="22" spans="2:21" ht="20.25"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0"/>
      <c r="M22" s="547">
        <f aca="true" t="shared" si="4" ref="M22:P25">M11</f>
        <v>1</v>
      </c>
      <c r="N22" s="226">
        <f t="shared" si="4"/>
        <v>0</v>
      </c>
      <c r="O22" s="226">
        <f t="shared" si="4"/>
        <v>3</v>
      </c>
      <c r="P22" s="551">
        <f t="shared" si="4"/>
        <v>4</v>
      </c>
      <c r="Q22" s="280"/>
      <c r="R22" s="280"/>
      <c r="S22" s="25"/>
      <c r="T22" s="280"/>
      <c r="U22" s="280"/>
    </row>
    <row r="23" spans="2:21" ht="20.25"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0"/>
      <c r="M23" s="547">
        <f t="shared" si="4"/>
        <v>5</v>
      </c>
      <c r="N23" s="226">
        <f t="shared" si="4"/>
        <v>2</v>
      </c>
      <c r="O23" s="226">
        <f t="shared" si="4"/>
        <v>7</v>
      </c>
      <c r="P23" s="551">
        <f t="shared" si="4"/>
        <v>8</v>
      </c>
      <c r="Q23" s="280"/>
      <c r="R23" s="226">
        <f>R12</f>
        <v>-327.99999999999994</v>
      </c>
      <c r="S23" s="25"/>
      <c r="T23" s="280"/>
      <c r="U23" s="280"/>
    </row>
    <row r="24" spans="2:21" ht="20.25"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0"/>
      <c r="M24" s="547">
        <f t="shared" si="4"/>
        <v>1</v>
      </c>
      <c r="N24" s="226">
        <f t="shared" si="4"/>
        <v>3</v>
      </c>
      <c r="O24" s="226">
        <f t="shared" si="4"/>
        <v>11</v>
      </c>
      <c r="P24" s="551">
        <f t="shared" si="4"/>
        <v>0</v>
      </c>
      <c r="Q24" s="280"/>
      <c r="R24" s="280"/>
      <c r="S24" s="25"/>
      <c r="T24" s="280"/>
      <c r="U24" s="280"/>
    </row>
    <row r="25" spans="2:21" ht="20.25"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70"/>
      <c r="M25" s="547">
        <f t="shared" si="4"/>
        <v>1</v>
      </c>
      <c r="N25" s="226">
        <f t="shared" si="4"/>
        <v>0</v>
      </c>
      <c r="O25" s="226">
        <f t="shared" si="4"/>
        <v>9</v>
      </c>
      <c r="P25" s="551">
        <f t="shared" si="4"/>
        <v>0</v>
      </c>
      <c r="Q25" s="280"/>
      <c r="R25" s="280"/>
      <c r="S25" s="25"/>
      <c r="T25" s="280"/>
      <c r="U25" s="280"/>
    </row>
    <row r="26" spans="2:21" ht="18"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270"/>
      <c r="M26" s="270"/>
      <c r="N26" s="270"/>
      <c r="O26" s="270"/>
      <c r="P26" s="270"/>
      <c r="Q26" s="280"/>
      <c r="R26" s="280"/>
      <c r="S26" s="25"/>
      <c r="T26" s="280"/>
      <c r="U26" s="280"/>
    </row>
    <row r="27" spans="2:21" ht="18"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270"/>
      <c r="M27" s="548">
        <f>D5</f>
        <v>1</v>
      </c>
      <c r="N27" s="286">
        <f>E5</f>
        <v>0</v>
      </c>
      <c r="O27" s="286">
        <f>I5</f>
        <v>4</v>
      </c>
      <c r="P27" s="552">
        <f>G5</f>
        <v>4</v>
      </c>
      <c r="Q27" s="280"/>
      <c r="R27" s="280"/>
      <c r="S27" s="25"/>
      <c r="T27" s="280"/>
      <c r="U27" s="280"/>
    </row>
    <row r="28" spans="2:21" ht="18"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270"/>
      <c r="M28" s="548">
        <f>D6</f>
        <v>5</v>
      </c>
      <c r="N28" s="286">
        <f>N12</f>
        <v>2</v>
      </c>
      <c r="O28" s="286">
        <f>I6</f>
        <v>3</v>
      </c>
      <c r="P28" s="552">
        <f>G6</f>
        <v>8</v>
      </c>
      <c r="Q28" s="280"/>
      <c r="R28" s="25"/>
      <c r="S28" s="25"/>
      <c r="T28" s="25"/>
      <c r="U28" s="25"/>
    </row>
    <row r="29" spans="2:21" ht="20.25">
      <c r="B29" s="296"/>
      <c r="C29" s="296"/>
      <c r="D29" s="296"/>
      <c r="E29" s="296"/>
      <c r="F29" s="296"/>
      <c r="G29" s="296"/>
      <c r="H29" s="296"/>
      <c r="I29" s="296"/>
      <c r="J29" s="296"/>
      <c r="K29" s="187"/>
      <c r="L29" s="270"/>
      <c r="M29" s="548">
        <f>M13</f>
        <v>1</v>
      </c>
      <c r="N29" s="286">
        <f>N13</f>
        <v>3</v>
      </c>
      <c r="O29" s="286">
        <f>I7</f>
        <v>2</v>
      </c>
      <c r="P29" s="552">
        <f>G7</f>
        <v>0</v>
      </c>
      <c r="Q29" s="280"/>
      <c r="R29" s="25"/>
      <c r="S29" s="25"/>
      <c r="T29" s="25"/>
      <c r="U29" s="25"/>
    </row>
    <row r="30" spans="2:21" ht="18"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280" t="s">
        <v>301</v>
      </c>
      <c r="M30" s="548">
        <f>M14</f>
        <v>1</v>
      </c>
      <c r="N30" s="286">
        <f>N14</f>
        <v>0</v>
      </c>
      <c r="O30" s="286">
        <f>I8</f>
        <v>1</v>
      </c>
      <c r="P30" s="552">
        <f>G8</f>
        <v>0</v>
      </c>
      <c r="Q30" s="280" t="s">
        <v>42</v>
      </c>
      <c r="R30" s="286">
        <f>MDETERM(M27:P30)</f>
        <v>-104</v>
      </c>
      <c r="S30" s="25"/>
      <c r="T30" s="280" t="s">
        <v>42</v>
      </c>
      <c r="U30" s="286">
        <f>R30/R34</f>
        <v>0.3170731707317074</v>
      </c>
    </row>
    <row r="31" spans="2:21" ht="18.75" thickBot="1"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270"/>
      <c r="M31" s="282"/>
      <c r="N31" s="282"/>
      <c r="O31" s="282"/>
      <c r="P31" s="280"/>
      <c r="Q31" s="280"/>
      <c r="R31" s="282"/>
      <c r="S31" s="25"/>
      <c r="T31" s="280"/>
      <c r="U31" s="280"/>
    </row>
    <row r="32" spans="2:21" ht="20.25">
      <c r="B32" s="288"/>
      <c r="C32" s="288"/>
      <c r="D32" s="288"/>
      <c r="E32" s="288"/>
      <c r="F32" s="288"/>
      <c r="G32" s="288"/>
      <c r="H32" s="288"/>
      <c r="I32" s="288"/>
      <c r="J32" s="288"/>
      <c r="K32" s="187"/>
      <c r="L32" s="270"/>
      <c r="M32" s="280"/>
      <c r="N32" s="280"/>
      <c r="O32" s="280"/>
      <c r="P32" s="280"/>
      <c r="Q32" s="280"/>
      <c r="R32" s="280"/>
      <c r="S32" s="25"/>
      <c r="T32" s="280"/>
      <c r="U32" s="280"/>
    </row>
    <row r="33" spans="2:21" ht="20.25">
      <c r="B33" s="288"/>
      <c r="C33" s="288"/>
      <c r="D33" s="288"/>
      <c r="E33" s="288"/>
      <c r="F33" s="288"/>
      <c r="G33" s="288"/>
      <c r="H33" s="288"/>
      <c r="I33" s="288"/>
      <c r="J33" s="288"/>
      <c r="K33" s="187"/>
      <c r="L33" s="270"/>
      <c r="M33" s="547">
        <f aca="true" t="shared" si="5" ref="M33:P36">M22</f>
        <v>1</v>
      </c>
      <c r="N33" s="226">
        <f t="shared" si="5"/>
        <v>0</v>
      </c>
      <c r="O33" s="226">
        <f t="shared" si="5"/>
        <v>3</v>
      </c>
      <c r="P33" s="551">
        <f t="shared" si="5"/>
        <v>4</v>
      </c>
      <c r="Q33" s="280"/>
      <c r="R33" s="280"/>
      <c r="S33" s="25"/>
      <c r="T33" s="280"/>
      <c r="U33" s="280"/>
    </row>
    <row r="34" spans="2:21" ht="20.25">
      <c r="B34" s="288"/>
      <c r="C34" s="288"/>
      <c r="D34" s="288"/>
      <c r="E34" s="288"/>
      <c r="F34" s="288"/>
      <c r="G34" s="288"/>
      <c r="H34" s="288"/>
      <c r="I34" s="288"/>
      <c r="J34" s="288"/>
      <c r="K34" s="187"/>
      <c r="L34" s="270"/>
      <c r="M34" s="547">
        <f t="shared" si="5"/>
        <v>5</v>
      </c>
      <c r="N34" s="226">
        <f t="shared" si="5"/>
        <v>2</v>
      </c>
      <c r="O34" s="226">
        <f t="shared" si="5"/>
        <v>7</v>
      </c>
      <c r="P34" s="551">
        <f t="shared" si="5"/>
        <v>8</v>
      </c>
      <c r="Q34" s="280"/>
      <c r="R34" s="226">
        <f>R23</f>
        <v>-327.99999999999994</v>
      </c>
      <c r="S34" s="25"/>
      <c r="T34" s="280"/>
      <c r="U34" s="280"/>
    </row>
    <row r="35" spans="2:21" ht="20.25"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70"/>
      <c r="M35" s="547">
        <f t="shared" si="5"/>
        <v>1</v>
      </c>
      <c r="N35" s="226">
        <f t="shared" si="5"/>
        <v>3</v>
      </c>
      <c r="O35" s="226">
        <f t="shared" si="5"/>
        <v>11</v>
      </c>
      <c r="P35" s="551">
        <f t="shared" si="5"/>
        <v>0</v>
      </c>
      <c r="Q35" s="280"/>
      <c r="R35" s="280"/>
      <c r="S35" s="280"/>
      <c r="T35" s="280"/>
      <c r="U35" s="280"/>
    </row>
    <row r="36" spans="2:21" ht="20.25"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70"/>
      <c r="M36" s="547">
        <f t="shared" si="5"/>
        <v>1</v>
      </c>
      <c r="N36" s="226">
        <f t="shared" si="5"/>
        <v>0</v>
      </c>
      <c r="O36" s="226">
        <f t="shared" si="5"/>
        <v>9</v>
      </c>
      <c r="P36" s="551">
        <f t="shared" si="5"/>
        <v>0</v>
      </c>
      <c r="Q36" s="280"/>
      <c r="R36" s="280"/>
      <c r="S36" s="280"/>
      <c r="T36" s="280"/>
      <c r="U36" s="280"/>
    </row>
    <row r="37" spans="2:21" ht="20.25"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70"/>
      <c r="M37" s="270"/>
      <c r="N37" s="270"/>
      <c r="O37" s="270"/>
      <c r="P37" s="270"/>
      <c r="Q37" s="270"/>
      <c r="R37" s="270"/>
      <c r="S37" s="270"/>
      <c r="T37" s="270"/>
      <c r="U37" s="270"/>
    </row>
    <row r="38" spans="2:21" ht="18"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270"/>
      <c r="M38" s="549">
        <f aca="true" t="shared" si="6" ref="M38:O41">D5</f>
        <v>1</v>
      </c>
      <c r="N38" s="18">
        <f t="shared" si="6"/>
        <v>0</v>
      </c>
      <c r="O38" s="18">
        <f t="shared" si="6"/>
        <v>3</v>
      </c>
      <c r="P38" s="553">
        <f>I5</f>
        <v>4</v>
      </c>
      <c r="Q38" s="280"/>
      <c r="R38" s="280"/>
      <c r="S38" s="25"/>
      <c r="T38" s="280"/>
      <c r="U38" s="280"/>
    </row>
    <row r="39" spans="2:21" ht="18"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270"/>
      <c r="M39" s="549">
        <f t="shared" si="6"/>
        <v>5</v>
      </c>
      <c r="N39" s="18">
        <f t="shared" si="6"/>
        <v>2</v>
      </c>
      <c r="O39" s="18">
        <f t="shared" si="6"/>
        <v>7</v>
      </c>
      <c r="P39" s="553">
        <f>I6</f>
        <v>3</v>
      </c>
      <c r="Q39" s="280"/>
      <c r="R39" s="25"/>
      <c r="S39" s="25"/>
      <c r="T39" s="25"/>
      <c r="U39" s="25"/>
    </row>
    <row r="40" spans="2:21" ht="20.25">
      <c r="B40" s="296"/>
      <c r="C40" s="296"/>
      <c r="D40" s="296"/>
      <c r="E40" s="296"/>
      <c r="F40" s="296"/>
      <c r="G40" s="296"/>
      <c r="H40" s="296"/>
      <c r="I40" s="296"/>
      <c r="J40" s="296"/>
      <c r="K40" s="187"/>
      <c r="L40" s="270"/>
      <c r="M40" s="549">
        <f t="shared" si="6"/>
        <v>1</v>
      </c>
      <c r="N40" s="18">
        <f t="shared" si="6"/>
        <v>3</v>
      </c>
      <c r="O40" s="18">
        <f t="shared" si="6"/>
        <v>11</v>
      </c>
      <c r="P40" s="553">
        <f>I7</f>
        <v>2</v>
      </c>
      <c r="Q40" s="280"/>
      <c r="R40" s="25"/>
      <c r="S40" s="25"/>
      <c r="T40" s="25"/>
      <c r="U40" s="25"/>
    </row>
    <row r="41" spans="2:21" ht="18"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280" t="s">
        <v>302</v>
      </c>
      <c r="M41" s="549">
        <f t="shared" si="6"/>
        <v>1</v>
      </c>
      <c r="N41" s="18">
        <f t="shared" si="6"/>
        <v>0</v>
      </c>
      <c r="O41" s="18">
        <f t="shared" si="6"/>
        <v>9</v>
      </c>
      <c r="P41" s="553">
        <f>I8</f>
        <v>1</v>
      </c>
      <c r="Q41" s="280" t="s">
        <v>42</v>
      </c>
      <c r="R41" s="18">
        <f>MDETERM(M38:P41)</f>
        <v>-402.00000000000006</v>
      </c>
      <c r="S41" s="25"/>
      <c r="T41" s="280" t="s">
        <v>42</v>
      </c>
      <c r="U41" s="18">
        <f>R41/R45</f>
        <v>1.2256097560975614</v>
      </c>
    </row>
    <row r="42" spans="2:21" ht="18.75" thickBot="1"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270"/>
      <c r="M42" s="282"/>
      <c r="N42" s="282"/>
      <c r="O42" s="282"/>
      <c r="P42" s="280"/>
      <c r="Q42" s="280"/>
      <c r="R42" s="282"/>
      <c r="S42" s="25"/>
      <c r="T42" s="280"/>
      <c r="U42" s="280"/>
    </row>
    <row r="43" spans="2:21" ht="20.25">
      <c r="B43" s="288"/>
      <c r="C43" s="288"/>
      <c r="D43" s="288"/>
      <c r="E43" s="288"/>
      <c r="F43" s="288"/>
      <c r="G43" s="288"/>
      <c r="H43" s="288"/>
      <c r="I43" s="288"/>
      <c r="J43" s="288"/>
      <c r="K43" s="187"/>
      <c r="L43" s="270"/>
      <c r="M43" s="280"/>
      <c r="N43" s="280"/>
      <c r="O43" s="280"/>
      <c r="P43" s="280"/>
      <c r="Q43" s="280"/>
      <c r="R43" s="280"/>
      <c r="S43" s="25"/>
      <c r="T43" s="280"/>
      <c r="U43" s="280"/>
    </row>
    <row r="44" spans="2:21" ht="20.25">
      <c r="B44" s="288"/>
      <c r="C44" s="288"/>
      <c r="D44" s="288"/>
      <c r="E44" s="288"/>
      <c r="F44" s="288"/>
      <c r="G44" s="288"/>
      <c r="H44" s="288"/>
      <c r="I44" s="288"/>
      <c r="J44" s="288"/>
      <c r="K44" s="187"/>
      <c r="L44" s="270"/>
      <c r="M44" s="547">
        <f aca="true" t="shared" si="7" ref="M44:P47">M33</f>
        <v>1</v>
      </c>
      <c r="N44" s="226">
        <f t="shared" si="7"/>
        <v>0</v>
      </c>
      <c r="O44" s="226">
        <f t="shared" si="7"/>
        <v>3</v>
      </c>
      <c r="P44" s="551">
        <f t="shared" si="7"/>
        <v>4</v>
      </c>
      <c r="Q44" s="280"/>
      <c r="R44" s="280"/>
      <c r="S44" s="25"/>
      <c r="T44" s="280"/>
      <c r="U44" s="280"/>
    </row>
    <row r="45" spans="2:21" ht="20.25">
      <c r="B45" s="288"/>
      <c r="C45" s="288"/>
      <c r="D45" s="288"/>
      <c r="E45" s="288"/>
      <c r="F45" s="288"/>
      <c r="G45" s="288"/>
      <c r="H45" s="288"/>
      <c r="I45" s="288"/>
      <c r="J45" s="288"/>
      <c r="K45" s="187"/>
      <c r="L45" s="270"/>
      <c r="M45" s="547">
        <f t="shared" si="7"/>
        <v>5</v>
      </c>
      <c r="N45" s="226">
        <f t="shared" si="7"/>
        <v>2</v>
      </c>
      <c r="O45" s="226">
        <f t="shared" si="7"/>
        <v>7</v>
      </c>
      <c r="P45" s="551">
        <f t="shared" si="7"/>
        <v>8</v>
      </c>
      <c r="Q45" s="280"/>
      <c r="R45" s="226">
        <f>R34</f>
        <v>-327.99999999999994</v>
      </c>
      <c r="S45" s="25"/>
      <c r="T45" s="280"/>
      <c r="U45" s="280"/>
    </row>
    <row r="46" spans="2:21" ht="20.25"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70"/>
      <c r="M46" s="547">
        <f t="shared" si="7"/>
        <v>1</v>
      </c>
      <c r="N46" s="226">
        <f t="shared" si="7"/>
        <v>3</v>
      </c>
      <c r="O46" s="226">
        <f t="shared" si="7"/>
        <v>11</v>
      </c>
      <c r="P46" s="551">
        <f t="shared" si="7"/>
        <v>0</v>
      </c>
      <c r="Q46" s="280"/>
      <c r="R46" s="280"/>
      <c r="S46" s="280"/>
      <c r="T46" s="280"/>
      <c r="U46" s="280"/>
    </row>
    <row r="47" spans="2:21" ht="20.25"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70"/>
      <c r="M47" s="547">
        <f t="shared" si="7"/>
        <v>1</v>
      </c>
      <c r="N47" s="226">
        <f t="shared" si="7"/>
        <v>0</v>
      </c>
      <c r="O47" s="226">
        <f t="shared" si="7"/>
        <v>9</v>
      </c>
      <c r="P47" s="551">
        <f t="shared" si="7"/>
        <v>0</v>
      </c>
      <c r="Q47" s="280"/>
      <c r="R47" s="280"/>
      <c r="S47" s="280"/>
      <c r="T47" s="280"/>
      <c r="U47" s="280"/>
    </row>
    <row r="48" spans="2:21" ht="20.25"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70"/>
      <c r="M48" s="270"/>
      <c r="N48" s="270"/>
      <c r="O48" s="270"/>
      <c r="P48" s="270"/>
      <c r="Q48" s="270"/>
      <c r="R48" s="270"/>
      <c r="S48" s="270"/>
      <c r="T48" s="270"/>
      <c r="U48" s="270"/>
    </row>
    <row r="49" spans="2:21" ht="20.25"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270"/>
      <c r="M49" s="270"/>
      <c r="N49" s="270"/>
      <c r="O49" s="287"/>
      <c r="P49" s="287"/>
      <c r="Q49" s="179"/>
      <c r="R49" s="179"/>
      <c r="S49" s="179"/>
      <c r="T49" s="179"/>
      <c r="U49" s="179"/>
    </row>
    <row r="50" spans="2:21" ht="20.25"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288"/>
      <c r="M50" s="270"/>
      <c r="N50" s="270"/>
      <c r="O50" s="287"/>
      <c r="P50" s="287"/>
      <c r="Q50" s="179"/>
      <c r="R50" s="179"/>
      <c r="S50" s="179"/>
      <c r="T50" s="179"/>
      <c r="U50" s="179"/>
    </row>
    <row r="51" spans="2:21" ht="20.25"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270"/>
      <c r="M51" s="270"/>
      <c r="N51" s="270"/>
      <c r="O51" s="287"/>
      <c r="P51" s="287"/>
      <c r="Q51" s="179"/>
      <c r="R51" s="179"/>
      <c r="S51" s="179"/>
      <c r="T51" s="179"/>
      <c r="U51" s="179"/>
    </row>
    <row r="52" spans="2:21" ht="20.25"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270"/>
      <c r="M52" s="270"/>
      <c r="N52" s="270"/>
      <c r="O52" s="287"/>
      <c r="P52" s="287"/>
      <c r="Q52" s="179"/>
      <c r="R52" s="179"/>
      <c r="S52" s="179"/>
      <c r="T52" s="179"/>
      <c r="U52" s="179"/>
    </row>
    <row r="53" spans="2:21" ht="20.25"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270"/>
      <c r="M53" s="270"/>
      <c r="N53" s="270"/>
      <c r="O53" s="287"/>
      <c r="P53" s="287"/>
      <c r="Q53" s="179"/>
      <c r="R53" s="179"/>
      <c r="S53" s="179"/>
      <c r="T53" s="179"/>
      <c r="U53" s="179"/>
    </row>
    <row r="54" spans="2:21" ht="20.25"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289"/>
      <c r="M54" s="280"/>
      <c r="N54" s="270"/>
      <c r="O54" s="287"/>
      <c r="P54" s="287"/>
      <c r="Q54" s="179"/>
      <c r="R54" s="179"/>
      <c r="S54" s="179"/>
      <c r="T54" s="179"/>
      <c r="U54" s="179"/>
    </row>
    <row r="55" spans="2:21" ht="20.25"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270"/>
      <c r="M55" s="270"/>
      <c r="N55" s="270"/>
      <c r="O55" s="287"/>
      <c r="P55" s="287"/>
      <c r="Q55" s="179"/>
      <c r="R55" s="179"/>
      <c r="S55" s="179"/>
      <c r="T55" s="179"/>
      <c r="U55" s="179"/>
    </row>
    <row r="56" spans="2:21" ht="20.25"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270"/>
      <c r="M56" s="270"/>
      <c r="N56" s="270"/>
      <c r="O56" s="287"/>
      <c r="P56" s="287"/>
      <c r="Q56" s="179"/>
      <c r="R56" s="179"/>
      <c r="S56" s="179"/>
      <c r="T56" s="179"/>
      <c r="U56" s="179"/>
    </row>
    <row r="57" spans="2:21" ht="20.25"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270"/>
      <c r="M57" s="270"/>
      <c r="N57" s="270"/>
      <c r="O57" s="287"/>
      <c r="P57" s="287"/>
      <c r="Q57" s="179"/>
      <c r="R57" s="179"/>
      <c r="S57" s="179"/>
      <c r="T57" s="179"/>
      <c r="U57" s="179"/>
    </row>
    <row r="58" spans="2:21" ht="20.25"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25"/>
      <c r="M58" s="25"/>
      <c r="N58" s="25"/>
      <c r="O58" s="287"/>
      <c r="P58" s="287"/>
      <c r="Q58" s="179"/>
      <c r="R58" s="179"/>
      <c r="S58" s="179"/>
      <c r="T58" s="179"/>
      <c r="U58" s="179"/>
    </row>
    <row r="59" spans="2:21" ht="20.25"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25"/>
      <c r="M59" s="25"/>
      <c r="N59" s="25"/>
      <c r="O59" s="287"/>
      <c r="P59" s="287"/>
      <c r="Q59" s="179"/>
      <c r="R59" s="179"/>
      <c r="S59" s="179"/>
      <c r="T59" s="179"/>
      <c r="U59" s="179"/>
    </row>
    <row r="60" spans="2:21" ht="20.25"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25"/>
      <c r="M60" s="25"/>
      <c r="N60" s="25"/>
      <c r="O60" s="287"/>
      <c r="P60" s="287"/>
      <c r="Q60" s="179"/>
      <c r="R60" s="179"/>
      <c r="S60" s="179"/>
      <c r="T60" s="179"/>
      <c r="U60" s="179"/>
    </row>
    <row r="61" spans="2:21" ht="20.25"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25"/>
      <c r="M61" s="187"/>
      <c r="N61" s="187"/>
      <c r="O61" s="287"/>
      <c r="P61" s="287"/>
      <c r="Q61" s="179"/>
      <c r="R61" s="179"/>
      <c r="S61" s="179"/>
      <c r="T61" s="179"/>
      <c r="U61" s="179"/>
    </row>
    <row r="62" spans="2:21" ht="20.25"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87"/>
      <c r="M62" s="187"/>
      <c r="N62" s="187"/>
      <c r="O62" s="287"/>
      <c r="P62" s="287"/>
      <c r="Q62" s="179"/>
      <c r="R62" s="179"/>
      <c r="S62" s="179"/>
      <c r="T62" s="179"/>
      <c r="U62" s="179"/>
    </row>
    <row r="63" spans="2:21" ht="20.25"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270"/>
      <c r="M63" s="270"/>
      <c r="N63" s="270"/>
      <c r="O63" s="287"/>
      <c r="P63" s="287"/>
      <c r="Q63" s="179"/>
      <c r="R63" s="179"/>
      <c r="S63" s="179"/>
      <c r="T63" s="179"/>
      <c r="U63" s="179"/>
    </row>
    <row r="64" spans="2:21" ht="20.25"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270"/>
      <c r="M64" s="270"/>
      <c r="N64" s="270"/>
      <c r="O64" s="287"/>
      <c r="P64" s="287"/>
      <c r="Q64" s="179"/>
      <c r="R64" s="179"/>
      <c r="S64" s="179"/>
      <c r="T64" s="179"/>
      <c r="U64" s="179"/>
    </row>
    <row r="65" spans="2:21" ht="20.25"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270"/>
      <c r="M65" s="270"/>
      <c r="N65" s="270"/>
      <c r="O65" s="287"/>
      <c r="P65" s="287"/>
      <c r="Q65" s="179"/>
      <c r="R65" s="179"/>
      <c r="S65" s="179"/>
      <c r="T65" s="179"/>
      <c r="U65" s="179"/>
    </row>
    <row r="66" spans="2:21" ht="20.25"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270"/>
      <c r="M66" s="270"/>
      <c r="N66" s="270"/>
      <c r="O66" s="287"/>
      <c r="P66" s="287"/>
      <c r="Q66" s="179"/>
      <c r="R66" s="179"/>
      <c r="S66" s="179"/>
      <c r="T66" s="179"/>
      <c r="U66" s="179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75"/>
  <sheetViews>
    <sheetView zoomScalePageLayoutView="0" workbookViewId="0" topLeftCell="A58">
      <selection activeCell="E71" sqref="E71"/>
    </sheetView>
  </sheetViews>
  <sheetFormatPr defaultColWidth="9.140625" defaultRowHeight="12.75"/>
  <cols>
    <col min="1" max="1" width="3.7109375" style="0" customWidth="1"/>
    <col min="2" max="2" width="7.57421875" style="0" customWidth="1"/>
    <col min="3" max="3" width="9.8515625" style="0" customWidth="1"/>
    <col min="4" max="4" width="11.140625" style="0" customWidth="1"/>
    <col min="5" max="5" width="9.57421875" style="0" customWidth="1"/>
    <col min="6" max="6" width="2.00390625" style="0" customWidth="1"/>
    <col min="7" max="7" width="8.57421875" style="0" customWidth="1"/>
    <col min="8" max="8" width="8.7109375" style="0" customWidth="1"/>
    <col min="9" max="9" width="10.421875" style="0" customWidth="1"/>
    <col min="10" max="10" width="8.28125" style="0" customWidth="1"/>
    <col min="11" max="11" width="2.00390625" style="0" customWidth="1"/>
    <col min="12" max="12" width="9.421875" style="0" customWidth="1"/>
    <col min="13" max="14" width="10.00390625" style="0" customWidth="1"/>
    <col min="15" max="15" width="9.00390625" style="0" customWidth="1"/>
    <col min="16" max="16" width="3.8515625" style="0" customWidth="1"/>
    <col min="17" max="17" width="8.57421875" style="0" customWidth="1"/>
    <col min="18" max="18" width="4.8515625" style="0" customWidth="1"/>
    <col min="19" max="19" width="9.00390625" style="0" customWidth="1"/>
    <col min="20" max="20" width="8.8515625" style="0" customWidth="1"/>
    <col min="21" max="21" width="5.421875" style="0" customWidth="1"/>
    <col min="22" max="22" width="9.28125" style="0" customWidth="1"/>
    <col min="23" max="23" width="4.00390625" style="0" customWidth="1"/>
  </cols>
  <sheetData>
    <row r="1" spans="1:25" ht="25.5">
      <c r="A1" s="148" t="s">
        <v>208</v>
      </c>
      <c r="Q1" s="139"/>
      <c r="R1" s="139"/>
      <c r="S1" s="139"/>
      <c r="T1" s="139"/>
      <c r="U1" s="139"/>
      <c r="V1" s="139"/>
      <c r="W1" s="139"/>
      <c r="X1" s="139"/>
      <c r="Y1" s="139"/>
    </row>
    <row r="2" spans="2:25" ht="15.75">
      <c r="B2" s="55" t="s">
        <v>209</v>
      </c>
      <c r="F2" s="139"/>
      <c r="G2" s="55" t="s">
        <v>210</v>
      </c>
      <c r="L2" s="149" t="s">
        <v>211</v>
      </c>
      <c r="Q2" s="139"/>
      <c r="R2" s="139"/>
      <c r="S2" s="139"/>
      <c r="T2" s="139"/>
      <c r="U2" s="139"/>
      <c r="V2" s="139"/>
      <c r="W2" s="139"/>
      <c r="X2" s="139"/>
      <c r="Y2" s="139"/>
    </row>
    <row r="3" spans="6:25" ht="15.75">
      <c r="F3" s="139"/>
      <c r="L3" s="24" t="s">
        <v>212</v>
      </c>
      <c r="M3" s="150"/>
      <c r="N3" s="150"/>
      <c r="O3" s="24"/>
      <c r="Q3" s="139"/>
      <c r="R3" s="139"/>
      <c r="S3" s="139"/>
      <c r="T3" s="139"/>
      <c r="U3" s="139"/>
      <c r="V3" s="139"/>
      <c r="W3" s="139"/>
      <c r="X3" s="139"/>
      <c r="Y3" s="139"/>
    </row>
    <row r="4" spans="6:25" ht="15.75">
      <c r="F4" s="139"/>
      <c r="L4" s="151" t="s">
        <v>213</v>
      </c>
      <c r="M4" s="152">
        <v>30</v>
      </c>
      <c r="N4" s="153" t="s">
        <v>152</v>
      </c>
      <c r="O4" s="154">
        <v>1</v>
      </c>
      <c r="Q4" s="139"/>
      <c r="R4" s="139"/>
      <c r="S4" s="139"/>
      <c r="T4" s="139"/>
      <c r="U4" s="139"/>
      <c r="V4" s="139"/>
      <c r="W4" s="139"/>
      <c r="X4" s="139"/>
      <c r="Y4" s="139"/>
    </row>
    <row r="5" spans="6:25" ht="15.75">
      <c r="F5" s="139"/>
      <c r="L5" s="151" t="s">
        <v>214</v>
      </c>
      <c r="M5" s="152">
        <f>90-M4</f>
        <v>60</v>
      </c>
      <c r="N5" s="151" t="s">
        <v>153</v>
      </c>
      <c r="O5" s="155">
        <f>O4*SQRT(3)</f>
        <v>1.7320508075688772</v>
      </c>
      <c r="Q5" s="139"/>
      <c r="R5" s="139"/>
      <c r="S5" s="139"/>
      <c r="T5" s="139"/>
      <c r="U5" s="139"/>
      <c r="V5" s="139"/>
      <c r="W5" s="139"/>
      <c r="X5" s="139"/>
      <c r="Y5" s="139"/>
    </row>
    <row r="6" spans="6:25" ht="15.75">
      <c r="F6" s="139"/>
      <c r="L6" s="151" t="s">
        <v>215</v>
      </c>
      <c r="M6" s="152">
        <v>90</v>
      </c>
      <c r="N6" s="151" t="s">
        <v>154</v>
      </c>
      <c r="O6" s="155">
        <f>2*O4</f>
        <v>2</v>
      </c>
      <c r="Q6" s="139"/>
      <c r="R6" s="139"/>
      <c r="S6" s="139"/>
      <c r="T6" s="139"/>
      <c r="U6" s="139"/>
      <c r="V6" s="139"/>
      <c r="W6" s="139"/>
      <c r="X6" s="139"/>
      <c r="Y6" s="139"/>
    </row>
    <row r="7" spans="6:25" ht="15.75">
      <c r="F7" s="139"/>
      <c r="L7" s="156" t="s">
        <v>216</v>
      </c>
      <c r="M7" s="157"/>
      <c r="N7" s="157"/>
      <c r="O7" s="157"/>
      <c r="Q7" s="139"/>
      <c r="R7" s="139"/>
      <c r="S7" s="139"/>
      <c r="T7" s="139"/>
      <c r="U7" s="139"/>
      <c r="V7" s="139"/>
      <c r="W7" s="139"/>
      <c r="X7" s="139"/>
      <c r="Y7" s="139"/>
    </row>
    <row r="8" spans="6:25" ht="15.75">
      <c r="F8" s="139"/>
      <c r="L8" s="156" t="s">
        <v>217</v>
      </c>
      <c r="M8" s="157"/>
      <c r="N8" s="157"/>
      <c r="O8" s="157"/>
      <c r="Q8" s="139"/>
      <c r="R8" s="139"/>
      <c r="S8" s="139"/>
      <c r="T8" s="139"/>
      <c r="U8" s="139"/>
      <c r="V8" s="139"/>
      <c r="W8" s="139"/>
      <c r="X8" s="139"/>
      <c r="Y8" s="139"/>
    </row>
    <row r="9" spans="6:25" ht="15.75">
      <c r="F9" s="139"/>
      <c r="L9" s="156" t="s">
        <v>218</v>
      </c>
      <c r="M9" s="157"/>
      <c r="N9" s="157"/>
      <c r="O9" s="157"/>
      <c r="Q9" s="139"/>
      <c r="R9" s="139"/>
      <c r="S9" s="139"/>
      <c r="T9" s="139"/>
      <c r="U9" s="139"/>
      <c r="V9" s="139"/>
      <c r="W9" s="139"/>
      <c r="X9" s="139"/>
      <c r="Y9" s="139"/>
    </row>
    <row r="10" spans="2:25" ht="13.5" thickBot="1">
      <c r="B10" s="149" t="s">
        <v>211</v>
      </c>
      <c r="F10" s="139"/>
      <c r="G10" s="149" t="s">
        <v>211</v>
      </c>
      <c r="Q10" s="139"/>
      <c r="R10" s="139"/>
      <c r="S10" s="139"/>
      <c r="T10" s="139"/>
      <c r="U10" s="139"/>
      <c r="V10" s="139"/>
      <c r="W10" s="139"/>
      <c r="X10" s="139"/>
      <c r="Y10" s="139"/>
    </row>
    <row r="11" spans="2:25" ht="15.75">
      <c r="B11" s="158" t="s">
        <v>219</v>
      </c>
      <c r="C11" s="159"/>
      <c r="D11" s="159"/>
      <c r="E11" s="117"/>
      <c r="F11" s="139"/>
      <c r="G11" s="24" t="s">
        <v>220</v>
      </c>
      <c r="H11" s="150"/>
      <c r="I11" s="150"/>
      <c r="J11" s="24"/>
      <c r="L11" s="24" t="s">
        <v>221</v>
      </c>
      <c r="M11" s="150"/>
      <c r="N11" s="150"/>
      <c r="O11" s="24"/>
      <c r="Q11" s="43"/>
      <c r="R11" s="160"/>
      <c r="S11" s="160"/>
      <c r="T11" s="43"/>
      <c r="U11" s="139"/>
      <c r="V11" s="139"/>
      <c r="W11" s="139"/>
      <c r="X11" s="139"/>
      <c r="Y11" s="139"/>
    </row>
    <row r="12" spans="2:25" ht="15.75">
      <c r="B12" s="161" t="s">
        <v>213</v>
      </c>
      <c r="C12" s="152">
        <v>45</v>
      </c>
      <c r="D12" s="153" t="s">
        <v>152</v>
      </c>
      <c r="E12" s="162">
        <v>5</v>
      </c>
      <c r="F12" s="139"/>
      <c r="G12" s="151" t="s">
        <v>213</v>
      </c>
      <c r="H12" s="152">
        <v>30</v>
      </c>
      <c r="I12" s="151" t="s">
        <v>152</v>
      </c>
      <c r="J12" s="155">
        <f>J13/SQRT(3)</f>
        <v>0.9999706662364318</v>
      </c>
      <c r="L12" s="151" t="s">
        <v>213</v>
      </c>
      <c r="M12" s="152">
        <v>30</v>
      </c>
      <c r="N12" s="151" t="s">
        <v>152</v>
      </c>
      <c r="O12" s="155">
        <f>O14/2</f>
        <v>1</v>
      </c>
      <c r="Q12" s="43"/>
      <c r="R12" s="43"/>
      <c r="S12" s="43"/>
      <c r="T12" s="44"/>
      <c r="U12" s="139"/>
      <c r="V12" s="139"/>
      <c r="W12" s="139"/>
      <c r="X12" s="139"/>
      <c r="Y12" s="139"/>
    </row>
    <row r="13" spans="2:25" ht="15.75">
      <c r="B13" s="161" t="s">
        <v>214</v>
      </c>
      <c r="C13" s="152">
        <v>45</v>
      </c>
      <c r="D13" s="151" t="s">
        <v>153</v>
      </c>
      <c r="E13" s="163">
        <f>E12</f>
        <v>5</v>
      </c>
      <c r="F13" s="139"/>
      <c r="G13" s="151" t="s">
        <v>214</v>
      </c>
      <c r="H13" s="152">
        <f>90-H12</f>
        <v>60</v>
      </c>
      <c r="I13" s="153" t="s">
        <v>153</v>
      </c>
      <c r="J13" s="154">
        <v>1.732</v>
      </c>
      <c r="L13" s="151" t="s">
        <v>214</v>
      </c>
      <c r="M13" s="152">
        <f>90-M12</f>
        <v>60</v>
      </c>
      <c r="N13" s="151" t="s">
        <v>153</v>
      </c>
      <c r="O13" s="155">
        <f>O14*SQRT(3)/2</f>
        <v>1.7320508075688772</v>
      </c>
      <c r="Q13" s="43"/>
      <c r="R13" s="43"/>
      <c r="S13" s="43"/>
      <c r="T13" s="44"/>
      <c r="U13" s="139"/>
      <c r="V13" s="139"/>
      <c r="W13" s="139"/>
      <c r="X13" s="139"/>
      <c r="Y13" s="139"/>
    </row>
    <row r="14" spans="2:25" ht="15.75">
      <c r="B14" s="164" t="s">
        <v>222</v>
      </c>
      <c r="C14" s="165">
        <v>90</v>
      </c>
      <c r="D14" s="166" t="s">
        <v>154</v>
      </c>
      <c r="E14" s="167">
        <f>E12*SQRT(2)</f>
        <v>7.0710678118654755</v>
      </c>
      <c r="F14" s="139"/>
      <c r="G14" s="151" t="s">
        <v>213</v>
      </c>
      <c r="H14" s="152">
        <v>90</v>
      </c>
      <c r="I14" s="151" t="s">
        <v>154</v>
      </c>
      <c r="J14" s="155">
        <f>2*J13/SQRT(3)</f>
        <v>1.9999413324728637</v>
      </c>
      <c r="L14" s="151" t="s">
        <v>215</v>
      </c>
      <c r="M14" s="152">
        <v>90</v>
      </c>
      <c r="N14" s="153" t="s">
        <v>154</v>
      </c>
      <c r="O14" s="154">
        <v>2</v>
      </c>
      <c r="Q14" s="43"/>
      <c r="R14" s="43"/>
      <c r="S14" s="43"/>
      <c r="T14" s="44"/>
      <c r="U14" s="139"/>
      <c r="V14" s="139"/>
      <c r="W14" s="139"/>
      <c r="X14" s="139"/>
      <c r="Y14" s="139"/>
    </row>
    <row r="15" spans="2:25" ht="15.75">
      <c r="B15" s="168"/>
      <c r="C15" s="169" t="s">
        <v>223</v>
      </c>
      <c r="D15" s="169"/>
      <c r="E15" s="170"/>
      <c r="F15" s="139"/>
      <c r="G15" s="156" t="s">
        <v>216</v>
      </c>
      <c r="H15" s="157"/>
      <c r="I15" s="157"/>
      <c r="J15" s="157"/>
      <c r="L15" s="156" t="s">
        <v>216</v>
      </c>
      <c r="M15" s="157"/>
      <c r="N15" s="157"/>
      <c r="O15" s="157"/>
      <c r="Q15" s="43"/>
      <c r="R15" s="160"/>
      <c r="S15" s="160"/>
      <c r="T15" s="160"/>
      <c r="U15" s="139"/>
      <c r="V15" s="139"/>
      <c r="W15" s="139"/>
      <c r="X15" s="139"/>
      <c r="Y15" s="139"/>
    </row>
    <row r="16" spans="2:25" ht="15.75">
      <c r="B16" s="171" t="s">
        <v>213</v>
      </c>
      <c r="C16" s="172">
        <v>90</v>
      </c>
      <c r="D16" s="173" t="s">
        <v>152</v>
      </c>
      <c r="E16" s="174">
        <f>E18/SQRT(2)</f>
        <v>8.48528137423857</v>
      </c>
      <c r="F16" s="139"/>
      <c r="G16" s="156" t="s">
        <v>217</v>
      </c>
      <c r="H16" s="157"/>
      <c r="I16" s="157"/>
      <c r="J16" s="157"/>
      <c r="L16" s="156" t="s">
        <v>217</v>
      </c>
      <c r="M16" s="157"/>
      <c r="N16" s="157"/>
      <c r="O16" s="157"/>
      <c r="Q16" s="43"/>
      <c r="R16" s="160"/>
      <c r="S16" s="160"/>
      <c r="T16" s="160"/>
      <c r="U16" s="139"/>
      <c r="V16" s="139"/>
      <c r="W16" s="139"/>
      <c r="X16" s="139"/>
      <c r="Y16" s="139"/>
    </row>
    <row r="17" spans="2:25" ht="15.75">
      <c r="B17" s="161" t="s">
        <v>214</v>
      </c>
      <c r="C17" s="152">
        <v>45</v>
      </c>
      <c r="D17" s="151" t="s">
        <v>153</v>
      </c>
      <c r="E17" s="163">
        <f>E16</f>
        <v>8.48528137423857</v>
      </c>
      <c r="F17" s="139"/>
      <c r="G17" s="156" t="s">
        <v>218</v>
      </c>
      <c r="H17" s="157"/>
      <c r="I17" s="157"/>
      <c r="J17" s="157"/>
      <c r="K17" s="147"/>
      <c r="L17" s="156" t="s">
        <v>218</v>
      </c>
      <c r="M17" s="157"/>
      <c r="N17" s="157"/>
      <c r="O17" s="157"/>
      <c r="Q17" s="43"/>
      <c r="R17" s="160"/>
      <c r="S17" s="160"/>
      <c r="T17" s="160"/>
      <c r="U17" s="139"/>
      <c r="V17" s="139"/>
      <c r="W17" s="139"/>
      <c r="X17" s="139"/>
      <c r="Y17" s="139"/>
    </row>
    <row r="18" spans="2:25" ht="16.5" thickBot="1">
      <c r="B18" s="175" t="s">
        <v>222</v>
      </c>
      <c r="C18" s="176">
        <v>90</v>
      </c>
      <c r="D18" s="177" t="s">
        <v>154</v>
      </c>
      <c r="E18" s="178">
        <v>12</v>
      </c>
      <c r="F18" s="139"/>
      <c r="G18" s="55"/>
      <c r="H18" s="147"/>
      <c r="I18" s="147"/>
      <c r="J18" s="147"/>
      <c r="K18" s="147"/>
      <c r="Q18" s="139"/>
      <c r="R18" s="139"/>
      <c r="S18" s="139"/>
      <c r="T18" s="139"/>
      <c r="U18" s="139"/>
      <c r="V18" s="139"/>
      <c r="W18" s="139"/>
      <c r="X18" s="139"/>
      <c r="Y18" s="139"/>
    </row>
    <row r="19" spans="2:25" ht="9.75" customHeight="1">
      <c r="B19" s="139"/>
      <c r="C19" s="139"/>
      <c r="D19" s="139"/>
      <c r="E19" s="139"/>
      <c r="F19" s="139"/>
      <c r="G19" s="30"/>
      <c r="H19" s="139"/>
      <c r="I19" s="139"/>
      <c r="J19" s="139"/>
      <c r="K19" s="139"/>
      <c r="L19" s="30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</row>
    <row r="20" spans="2:25" ht="20.25">
      <c r="B20" s="179" t="s">
        <v>224</v>
      </c>
      <c r="Q20" s="139"/>
      <c r="R20" s="139"/>
      <c r="S20" s="139"/>
      <c r="T20" s="139"/>
      <c r="U20" s="139"/>
      <c r="V20" s="139"/>
      <c r="W20" s="139"/>
      <c r="X20" s="139"/>
      <c r="Y20" s="139"/>
    </row>
    <row r="21" spans="17:25" ht="12.75">
      <c r="Q21" s="139"/>
      <c r="R21" s="139"/>
      <c r="S21" s="139"/>
      <c r="T21" s="139"/>
      <c r="U21" s="139"/>
      <c r="V21" s="139"/>
      <c r="W21" s="139"/>
      <c r="X21" s="139"/>
      <c r="Y21" s="139"/>
    </row>
    <row r="22" spans="17:25" ht="12.75">
      <c r="Q22" s="139"/>
      <c r="R22" s="139"/>
      <c r="S22" s="139"/>
      <c r="T22" s="139"/>
      <c r="U22" s="139"/>
      <c r="V22" s="139"/>
      <c r="W22" s="139"/>
      <c r="X22" s="139"/>
      <c r="Y22" s="139"/>
    </row>
    <row r="23" spans="17:25" ht="12.75">
      <c r="Q23" s="139"/>
      <c r="R23" s="139"/>
      <c r="S23" s="139"/>
      <c r="T23" s="139"/>
      <c r="U23" s="139"/>
      <c r="V23" s="139"/>
      <c r="W23" s="139"/>
      <c r="X23" s="139"/>
      <c r="Y23" s="139"/>
    </row>
    <row r="24" spans="17:25" ht="12.75">
      <c r="Q24" s="139"/>
      <c r="R24" s="139"/>
      <c r="S24" s="139"/>
      <c r="T24" s="139"/>
      <c r="U24" s="139"/>
      <c r="V24" s="139"/>
      <c r="W24" s="139"/>
      <c r="X24" s="139"/>
      <c r="Y24" s="139"/>
    </row>
    <row r="25" spans="17:25" ht="12.75">
      <c r="Q25" s="139"/>
      <c r="R25" s="139"/>
      <c r="S25" s="139"/>
      <c r="T25" s="139"/>
      <c r="U25" s="139"/>
      <c r="V25" s="139"/>
      <c r="W25" s="139"/>
      <c r="X25" s="139"/>
      <c r="Y25" s="139"/>
    </row>
    <row r="26" spans="17:25" ht="12.75">
      <c r="Q26" s="139"/>
      <c r="R26" s="139"/>
      <c r="S26" s="139"/>
      <c r="T26" s="139"/>
      <c r="U26" s="139"/>
      <c r="V26" s="139"/>
      <c r="W26" s="139"/>
      <c r="X26" s="139"/>
      <c r="Y26" s="139"/>
    </row>
    <row r="27" spans="17:25" ht="12.75">
      <c r="Q27" s="139"/>
      <c r="R27" s="139"/>
      <c r="S27" s="139"/>
      <c r="T27" s="139"/>
      <c r="U27" s="139"/>
      <c r="V27" s="139"/>
      <c r="W27" s="139"/>
      <c r="X27" s="139"/>
      <c r="Y27" s="139"/>
    </row>
    <row r="28" spans="17:25" ht="12.75">
      <c r="Q28" s="139"/>
      <c r="R28" s="139"/>
      <c r="S28" s="139"/>
      <c r="T28" s="139"/>
      <c r="U28" s="139"/>
      <c r="V28" s="139"/>
      <c r="W28" s="139"/>
      <c r="X28" s="139"/>
      <c r="Y28" s="139"/>
    </row>
    <row r="29" spans="17:25" ht="12.75">
      <c r="Q29" s="139"/>
      <c r="R29" s="139"/>
      <c r="S29" s="139"/>
      <c r="T29" s="139"/>
      <c r="U29" s="139"/>
      <c r="V29" s="139"/>
      <c r="W29" s="139"/>
      <c r="X29" s="139"/>
      <c r="Y29" s="139"/>
    </row>
    <row r="30" spans="2:25" ht="15.75">
      <c r="B30" s="24" t="s">
        <v>225</v>
      </c>
      <c r="C30" s="150"/>
      <c r="D30" s="150"/>
      <c r="E30" s="24"/>
      <c r="G30" s="24" t="s">
        <v>226</v>
      </c>
      <c r="H30" s="150"/>
      <c r="I30" s="150"/>
      <c r="J30" s="150"/>
      <c r="L30" s="24" t="s">
        <v>227</v>
      </c>
      <c r="M30" s="150"/>
      <c r="N30" s="150"/>
      <c r="O30" s="150"/>
      <c r="Q30" s="139"/>
      <c r="R30" s="139"/>
      <c r="S30" s="139"/>
      <c r="T30" s="139"/>
      <c r="U30" s="139"/>
      <c r="V30" s="139"/>
      <c r="W30" s="139"/>
      <c r="X30" s="139"/>
      <c r="Y30" s="139"/>
    </row>
    <row r="31" spans="2:25" ht="16.5" thickBot="1">
      <c r="B31" s="151" t="s">
        <v>213</v>
      </c>
      <c r="C31" s="152">
        <f>ASIN(E31/E33)*180/PI()</f>
        <v>22.619864948040426</v>
      </c>
      <c r="D31" s="153" t="s">
        <v>152</v>
      </c>
      <c r="E31" s="154">
        <v>5</v>
      </c>
      <c r="G31" s="151" t="s">
        <v>213</v>
      </c>
      <c r="H31" s="152">
        <f>ASIN(J31/J33)*180/PI()</f>
        <v>45.008654276429546</v>
      </c>
      <c r="I31" s="153" t="s">
        <v>152</v>
      </c>
      <c r="J31" s="154">
        <v>1</v>
      </c>
      <c r="L31" s="180" t="s">
        <v>213</v>
      </c>
      <c r="M31" s="181">
        <v>60</v>
      </c>
      <c r="N31" s="153" t="s">
        <v>152</v>
      </c>
      <c r="O31" s="154">
        <v>1.732</v>
      </c>
      <c r="Q31" s="139"/>
      <c r="R31" s="139"/>
      <c r="S31" s="139"/>
      <c r="T31" s="139"/>
      <c r="U31" s="139"/>
      <c r="V31" s="139"/>
      <c r="W31" s="139"/>
      <c r="X31" s="139"/>
      <c r="Y31" s="139"/>
    </row>
    <row r="32" spans="2:25" ht="16.5" thickBot="1">
      <c r="B32" s="151" t="s">
        <v>214</v>
      </c>
      <c r="C32" s="152">
        <f>90-C31</f>
        <v>67.38013505195957</v>
      </c>
      <c r="D32" s="153" t="s">
        <v>153</v>
      </c>
      <c r="E32" s="154">
        <v>12</v>
      </c>
      <c r="G32" s="151" t="s">
        <v>214</v>
      </c>
      <c r="H32" s="152">
        <f>ASIN(J32/J33)*180/PI()</f>
        <v>44.99134572357045</v>
      </c>
      <c r="I32" s="151" t="s">
        <v>153</v>
      </c>
      <c r="J32" s="155">
        <f>SQRT(J33^2-J31^2)</f>
        <v>0.9996979543842228</v>
      </c>
      <c r="L32" s="182" t="s">
        <v>214</v>
      </c>
      <c r="M32" s="183">
        <f>90-M31</f>
        <v>30</v>
      </c>
      <c r="N32" s="184" t="s">
        <v>153</v>
      </c>
      <c r="O32" s="155">
        <f>O31/TAN(M31*PI()/180)</f>
        <v>0.9999706662364322</v>
      </c>
      <c r="Q32" s="139"/>
      <c r="R32" s="139"/>
      <c r="S32" s="139"/>
      <c r="T32" s="139"/>
      <c r="U32" s="139"/>
      <c r="V32" s="139"/>
      <c r="W32" s="139"/>
      <c r="X32" s="139"/>
      <c r="Y32" s="139"/>
    </row>
    <row r="33" spans="2:25" ht="15.75">
      <c r="B33" s="151" t="s">
        <v>215</v>
      </c>
      <c r="C33" s="152">
        <v>90</v>
      </c>
      <c r="D33" s="151" t="s">
        <v>154</v>
      </c>
      <c r="E33" s="155">
        <f>SQRT(E31^2+E32^2)</f>
        <v>13</v>
      </c>
      <c r="G33" s="151" t="s">
        <v>215</v>
      </c>
      <c r="H33" s="152">
        <f>180-H31-H32</f>
        <v>90</v>
      </c>
      <c r="I33" s="153" t="s">
        <v>154</v>
      </c>
      <c r="J33" s="154">
        <v>1.414</v>
      </c>
      <c r="L33" s="173" t="s">
        <v>215</v>
      </c>
      <c r="M33" s="172">
        <v>90</v>
      </c>
      <c r="N33" s="151" t="s">
        <v>154</v>
      </c>
      <c r="O33" s="155">
        <f>SQRT(O31^2+O32^2)</f>
        <v>1.9999413324728639</v>
      </c>
      <c r="Q33" s="139"/>
      <c r="R33" s="139"/>
      <c r="S33" s="139"/>
      <c r="T33" s="139"/>
      <c r="U33" s="139"/>
      <c r="V33" s="139"/>
      <c r="W33" s="139"/>
      <c r="X33" s="139"/>
      <c r="Y33" s="139"/>
    </row>
    <row r="34" spans="2:25" ht="15.75">
      <c r="B34" s="156" t="s">
        <v>228</v>
      </c>
      <c r="C34" s="157"/>
      <c r="D34" s="157"/>
      <c r="E34" s="157"/>
      <c r="F34" s="147"/>
      <c r="G34" s="185" t="s">
        <v>229</v>
      </c>
      <c r="H34" s="157"/>
      <c r="I34" s="157"/>
      <c r="J34" s="157"/>
      <c r="L34" s="156" t="s">
        <v>230</v>
      </c>
      <c r="M34" s="157"/>
      <c r="N34" s="157"/>
      <c r="O34" s="157"/>
      <c r="Q34" s="139"/>
      <c r="R34" s="139"/>
      <c r="S34" s="139"/>
      <c r="T34" s="139"/>
      <c r="U34" s="139"/>
      <c r="V34" s="139"/>
      <c r="W34" s="139"/>
      <c r="X34" s="139"/>
      <c r="Y34" s="139"/>
    </row>
    <row r="35" spans="2:25" ht="15.75">
      <c r="B35" s="156" t="s">
        <v>230</v>
      </c>
      <c r="C35" s="157"/>
      <c r="D35" s="157"/>
      <c r="E35" s="157"/>
      <c r="F35" s="147"/>
      <c r="G35" s="185" t="s">
        <v>231</v>
      </c>
      <c r="H35" s="157"/>
      <c r="I35" s="157"/>
      <c r="J35" s="157"/>
      <c r="L35" s="157" t="s">
        <v>232</v>
      </c>
      <c r="M35" s="157"/>
      <c r="N35" s="157"/>
      <c r="O35" s="157"/>
      <c r="Q35" s="139"/>
      <c r="R35" s="139"/>
      <c r="S35" s="139"/>
      <c r="T35" s="139"/>
      <c r="U35" s="139"/>
      <c r="V35" s="139"/>
      <c r="W35" s="139"/>
      <c r="X35" s="139"/>
      <c r="Y35" s="139"/>
    </row>
    <row r="36" spans="2:25" ht="15.75">
      <c r="B36" s="156" t="s">
        <v>233</v>
      </c>
      <c r="C36" s="157"/>
      <c r="D36" s="157"/>
      <c r="E36" s="157"/>
      <c r="F36" s="147"/>
      <c r="G36" s="185" t="s">
        <v>232</v>
      </c>
      <c r="H36" s="157"/>
      <c r="I36" s="157"/>
      <c r="J36" s="157"/>
      <c r="L36" s="156" t="s">
        <v>234</v>
      </c>
      <c r="M36" s="157"/>
      <c r="N36" s="157"/>
      <c r="O36" s="157"/>
      <c r="Q36" s="139"/>
      <c r="R36" s="139"/>
      <c r="S36" s="139"/>
      <c r="T36" s="139"/>
      <c r="U36" s="139"/>
      <c r="V36" s="139"/>
      <c r="W36" s="139"/>
      <c r="X36" s="139"/>
      <c r="Y36" s="139"/>
    </row>
    <row r="37" spans="2:25" ht="15.75">
      <c r="B37" s="156" t="s">
        <v>235</v>
      </c>
      <c r="C37" s="157"/>
      <c r="D37" s="157"/>
      <c r="E37" s="157"/>
      <c r="F37" s="147"/>
      <c r="G37" s="156" t="s">
        <v>236</v>
      </c>
      <c r="H37" s="157"/>
      <c r="I37" s="157"/>
      <c r="J37" s="157"/>
      <c r="L37" s="156" t="s">
        <v>235</v>
      </c>
      <c r="M37" s="156"/>
      <c r="N37" s="156"/>
      <c r="O37" s="157"/>
      <c r="Q37" s="139"/>
      <c r="R37" s="139"/>
      <c r="S37" s="139"/>
      <c r="T37" s="139"/>
      <c r="U37" s="139"/>
      <c r="V37" s="139"/>
      <c r="W37" s="139"/>
      <c r="X37" s="139"/>
      <c r="Y37" s="139"/>
    </row>
    <row r="38" spans="1:25" ht="9" customHeight="1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30"/>
      <c r="N38" s="30"/>
      <c r="O38" s="30"/>
      <c r="P38" s="30"/>
      <c r="Q38" s="139"/>
      <c r="R38" s="139"/>
      <c r="S38" s="139"/>
      <c r="T38" s="139"/>
      <c r="U38" s="139"/>
      <c r="V38" s="139"/>
      <c r="W38" s="139"/>
      <c r="X38" s="139"/>
      <c r="Y38" s="139"/>
    </row>
    <row r="39" spans="1:25" ht="25.5">
      <c r="A39" s="148" t="s">
        <v>237</v>
      </c>
      <c r="V39" s="139"/>
      <c r="W39" s="139"/>
      <c r="X39" s="139"/>
      <c r="Y39" s="139"/>
    </row>
    <row r="40" spans="2:25" ht="20.25">
      <c r="B40" s="186" t="s">
        <v>238</v>
      </c>
      <c r="V40" s="139"/>
      <c r="W40" s="139"/>
      <c r="X40" s="139"/>
      <c r="Y40" s="139"/>
    </row>
    <row r="41" spans="11:25" ht="12.75">
      <c r="K41" s="187"/>
      <c r="L41" s="187"/>
      <c r="V41" s="139"/>
      <c r="W41" s="139"/>
      <c r="X41" s="139"/>
      <c r="Y41" s="139"/>
    </row>
    <row r="42" spans="11:25" ht="12.75">
      <c r="K42" s="187"/>
      <c r="L42" s="187"/>
      <c r="V42" s="139"/>
      <c r="W42" s="139"/>
      <c r="X42" s="139"/>
      <c r="Y42" s="139"/>
    </row>
    <row r="43" spans="11:25" ht="12.75">
      <c r="K43" s="187"/>
      <c r="L43" s="187"/>
      <c r="V43" s="139"/>
      <c r="W43" s="139"/>
      <c r="X43" s="139"/>
      <c r="Y43" s="139"/>
    </row>
    <row r="44" spans="8:25" ht="12.75">
      <c r="H44" s="187"/>
      <c r="I44" s="187"/>
      <c r="J44" s="187"/>
      <c r="K44" s="187"/>
      <c r="L44" s="187"/>
      <c r="V44" s="139"/>
      <c r="W44" s="139"/>
      <c r="X44" s="139"/>
      <c r="Y44" s="139"/>
    </row>
    <row r="45" spans="8:25" ht="12.75">
      <c r="H45" s="187"/>
      <c r="I45" s="187"/>
      <c r="J45" s="187"/>
      <c r="K45" s="187"/>
      <c r="L45" s="187"/>
      <c r="V45" s="139"/>
      <c r="W45" s="139"/>
      <c r="X45" s="139"/>
      <c r="Y45" s="139"/>
    </row>
    <row r="46" spans="8:25" ht="15.75">
      <c r="H46" s="187"/>
      <c r="I46" s="187"/>
      <c r="J46" s="187"/>
      <c r="K46" s="188"/>
      <c r="L46" s="187"/>
      <c r="V46" s="139"/>
      <c r="W46" s="139"/>
      <c r="X46" s="139"/>
      <c r="Y46" s="139"/>
    </row>
    <row r="47" spans="8:25" ht="15.75">
      <c r="H47" s="187"/>
      <c r="I47" s="21"/>
      <c r="J47" s="21"/>
      <c r="K47" s="188"/>
      <c r="L47" s="187"/>
      <c r="M47" s="147"/>
      <c r="N47" s="147"/>
      <c r="O47" s="147"/>
      <c r="P47" s="147"/>
      <c r="Q47" s="147"/>
      <c r="R47" s="147"/>
      <c r="S47" s="147"/>
      <c r="V47" s="139"/>
      <c r="W47" s="139"/>
      <c r="X47" s="139"/>
      <c r="Y47" s="139"/>
    </row>
    <row r="48" spans="8:25" ht="15.75">
      <c r="H48" s="187"/>
      <c r="I48" s="21"/>
      <c r="J48" s="21"/>
      <c r="V48" s="139"/>
      <c r="W48" s="139"/>
      <c r="X48" s="139"/>
      <c r="Y48" s="139"/>
    </row>
    <row r="49" spans="8:25" ht="15.75">
      <c r="H49" s="187"/>
      <c r="I49" s="21"/>
      <c r="J49" s="21"/>
      <c r="V49" s="139"/>
      <c r="W49" s="139"/>
      <c r="X49" s="139"/>
      <c r="Y49" s="139"/>
    </row>
    <row r="50" spans="2:25" s="147" customFormat="1" ht="20.25">
      <c r="B50" s="189"/>
      <c r="H50" s="187"/>
      <c r="I50" s="21"/>
      <c r="J50" s="21"/>
      <c r="K50"/>
      <c r="L50"/>
      <c r="M50"/>
      <c r="N50"/>
      <c r="O50"/>
      <c r="P50"/>
      <c r="Q50"/>
      <c r="R50"/>
      <c r="S50"/>
      <c r="V50" s="139"/>
      <c r="W50" s="139"/>
      <c r="X50" s="139"/>
      <c r="Y50" s="139"/>
    </row>
    <row r="51" spans="2:25" ht="12.75">
      <c r="B51" t="s">
        <v>239</v>
      </c>
      <c r="V51" s="139"/>
      <c r="W51" s="139"/>
      <c r="X51" s="139"/>
      <c r="Y51" s="139"/>
    </row>
    <row r="52" spans="2:25" ht="15.75">
      <c r="B52" s="24" t="s">
        <v>240</v>
      </c>
      <c r="C52" s="150"/>
      <c r="D52" s="150"/>
      <c r="E52" s="150"/>
      <c r="G52" s="24" t="s">
        <v>241</v>
      </c>
      <c r="H52" s="150"/>
      <c r="I52" s="150"/>
      <c r="J52" s="150"/>
      <c r="V52" s="139"/>
      <c r="W52" s="139"/>
      <c r="X52" s="139"/>
      <c r="Y52" s="139"/>
    </row>
    <row r="53" spans="2:25" ht="15.75">
      <c r="B53" s="153" t="s">
        <v>152</v>
      </c>
      <c r="C53" s="154">
        <v>6</v>
      </c>
      <c r="D53" s="153" t="s">
        <v>213</v>
      </c>
      <c r="E53" s="154">
        <v>120</v>
      </c>
      <c r="G53" s="190" t="s">
        <v>152</v>
      </c>
      <c r="H53" s="191">
        <v>10</v>
      </c>
      <c r="I53" s="190" t="s">
        <v>213</v>
      </c>
      <c r="J53" s="191">
        <v>42</v>
      </c>
      <c r="M53" s="24" t="s">
        <v>2</v>
      </c>
      <c r="N53" s="23"/>
      <c r="O53" s="24" t="s">
        <v>242</v>
      </c>
      <c r="P53" s="23"/>
      <c r="Q53" s="24" t="s">
        <v>2</v>
      </c>
      <c r="R53" s="23"/>
      <c r="S53" s="24" t="s">
        <v>3</v>
      </c>
      <c r="V53" s="139"/>
      <c r="W53" s="139"/>
      <c r="X53" s="139"/>
      <c r="Y53" s="139"/>
    </row>
    <row r="54" spans="2:25" ht="18">
      <c r="B54" s="151" t="s">
        <v>153</v>
      </c>
      <c r="C54" s="155">
        <f>C53*SIN(E54*PI()/180)/SIN(E53*PI()/180)</f>
        <v>1.7931509443361067</v>
      </c>
      <c r="D54" s="153" t="s">
        <v>214</v>
      </c>
      <c r="E54" s="154">
        <v>15</v>
      </c>
      <c r="G54" s="190" t="s">
        <v>153</v>
      </c>
      <c r="H54" s="191">
        <v>12</v>
      </c>
      <c r="I54" s="192" t="s">
        <v>214</v>
      </c>
      <c r="J54" s="193">
        <f>ASIN(H54*SIN(J53*PI()/180)/H53)*180/PI()</f>
        <v>53.413383930197256</v>
      </c>
      <c r="K54" s="194" t="s">
        <v>243</v>
      </c>
      <c r="L54" s="194"/>
      <c r="M54" s="195">
        <f>H53</f>
        <v>10</v>
      </c>
      <c r="N54" s="196" t="s">
        <v>244</v>
      </c>
      <c r="O54" s="197">
        <f>H54*SIN(J53*PI()/180)</f>
        <v>8.029567276306299</v>
      </c>
      <c r="P54" s="198" t="s">
        <v>245</v>
      </c>
      <c r="Q54" s="198"/>
      <c r="R54" s="198"/>
      <c r="S54" s="198"/>
      <c r="T54" s="199"/>
      <c r="V54" s="139"/>
      <c r="W54" s="139"/>
      <c r="X54" s="139"/>
      <c r="Y54" s="139"/>
    </row>
    <row r="55" spans="2:25" ht="15.75">
      <c r="B55" s="151" t="s">
        <v>154</v>
      </c>
      <c r="C55" s="155">
        <f>C54*SIN(E55*PI()/180)/SIN(E54*PI()/180)</f>
        <v>4.898979485566355</v>
      </c>
      <c r="D55" s="151" t="s">
        <v>215</v>
      </c>
      <c r="E55" s="155">
        <f>180-E54-E53</f>
        <v>45</v>
      </c>
      <c r="G55" s="192" t="s">
        <v>154</v>
      </c>
      <c r="H55" s="193">
        <f>H53*SIN(J55*PI()/180)/SIN(J53*PI()/180)</f>
        <v>14.878111162100435</v>
      </c>
      <c r="I55" s="192" t="s">
        <v>215</v>
      </c>
      <c r="J55" s="193">
        <f>180-J54-J53</f>
        <v>84.58661606980274</v>
      </c>
      <c r="K55" s="149" t="s">
        <v>246</v>
      </c>
      <c r="L55" s="149"/>
      <c r="M55" s="195">
        <f>H53</f>
        <v>10</v>
      </c>
      <c r="N55" s="23" t="s">
        <v>42</v>
      </c>
      <c r="O55" s="197">
        <f>H54*SIN(J53*PI()/180)</f>
        <v>8.029567276306299</v>
      </c>
      <c r="P55" s="23"/>
      <c r="Q55" s="23"/>
      <c r="R55" s="23"/>
      <c r="S55" s="23"/>
      <c r="V55" s="139"/>
      <c r="W55" s="139"/>
      <c r="X55" s="139"/>
      <c r="Y55" s="139"/>
    </row>
    <row r="56" spans="2:25" ht="15.75">
      <c r="B56" s="156" t="s">
        <v>247</v>
      </c>
      <c r="C56" s="157"/>
      <c r="D56" s="157"/>
      <c r="E56" s="157"/>
      <c r="G56" s="200" t="s">
        <v>248</v>
      </c>
      <c r="H56" s="201">
        <f>H54</f>
        <v>12</v>
      </c>
      <c r="I56" s="200" t="s">
        <v>249</v>
      </c>
      <c r="J56" s="201">
        <f>180-J54</f>
        <v>126.58661606980274</v>
      </c>
      <c r="K56" s="202" t="s">
        <v>250</v>
      </c>
      <c r="L56" s="202"/>
      <c r="M56" s="203"/>
      <c r="N56" s="203"/>
      <c r="O56" s="197">
        <f>H54*SIN(J53*PI()/180)</f>
        <v>8.029567276306299</v>
      </c>
      <c r="P56" s="203" t="s">
        <v>244</v>
      </c>
      <c r="Q56" s="195">
        <f>H53</f>
        <v>10</v>
      </c>
      <c r="R56" s="203" t="s">
        <v>244</v>
      </c>
      <c r="S56" s="195">
        <f>H54</f>
        <v>12</v>
      </c>
      <c r="V56" s="139"/>
      <c r="W56" s="139"/>
      <c r="X56" s="139"/>
      <c r="Y56" s="139"/>
    </row>
    <row r="57" spans="2:25" ht="15.75">
      <c r="B57" s="156" t="s">
        <v>251</v>
      </c>
      <c r="C57" s="157"/>
      <c r="D57" s="157"/>
      <c r="E57" s="157"/>
      <c r="G57" s="200" t="s">
        <v>252</v>
      </c>
      <c r="H57" s="201">
        <f>H55*SIN(J57*PI()/180)/SIN(J55*PI()/180)</f>
        <v>2.9573646493570243</v>
      </c>
      <c r="I57" s="200" t="s">
        <v>253</v>
      </c>
      <c r="J57" s="201">
        <f>180-J53-J56</f>
        <v>11.413383930197256</v>
      </c>
      <c r="K57" s="149" t="s">
        <v>246</v>
      </c>
      <c r="L57" s="149"/>
      <c r="M57" s="23"/>
      <c r="N57" s="23"/>
      <c r="O57" s="23" t="s">
        <v>254</v>
      </c>
      <c r="P57" s="23"/>
      <c r="Q57" s="195">
        <f>H53</f>
        <v>10</v>
      </c>
      <c r="R57" s="204" t="s">
        <v>255</v>
      </c>
      <c r="S57" s="195">
        <f>H54</f>
        <v>12</v>
      </c>
      <c r="V57" s="139"/>
      <c r="W57" s="139"/>
      <c r="X57" s="139"/>
      <c r="Y57" s="139"/>
    </row>
    <row r="58" spans="2:25" ht="15.75">
      <c r="B58" s="156" t="s">
        <v>256</v>
      </c>
      <c r="C58" s="156"/>
      <c r="D58" s="156"/>
      <c r="E58" s="157"/>
      <c r="G58" s="205" t="s">
        <v>257</v>
      </c>
      <c r="H58" s="206"/>
      <c r="I58" s="206"/>
      <c r="J58" s="206"/>
      <c r="K58" s="157"/>
      <c r="L58" s="157"/>
      <c r="M58" s="157"/>
      <c r="V58" s="139"/>
      <c r="W58" s="139"/>
      <c r="X58" s="139"/>
      <c r="Y58" s="139"/>
    </row>
    <row r="59" spans="2:25" ht="15.75">
      <c r="B59" s="55"/>
      <c r="G59" s="156" t="s">
        <v>258</v>
      </c>
      <c r="H59" s="206"/>
      <c r="I59" s="206"/>
      <c r="J59" s="206"/>
      <c r="K59" s="157"/>
      <c r="L59" s="157"/>
      <c r="M59" s="157"/>
      <c r="N59" s="147"/>
      <c r="O59" s="147"/>
      <c r="P59" s="147"/>
      <c r="Q59" s="147"/>
      <c r="R59" s="147"/>
      <c r="S59" s="147"/>
      <c r="T59" s="147"/>
      <c r="U59" s="147"/>
      <c r="V59" s="139"/>
      <c r="W59" s="139"/>
      <c r="X59" s="139"/>
      <c r="Y59" s="139"/>
    </row>
    <row r="60" spans="2:25" ht="15">
      <c r="B60" s="388" t="s">
        <v>402</v>
      </c>
      <c r="G60" s="205" t="s">
        <v>259</v>
      </c>
      <c r="H60" s="205"/>
      <c r="I60" s="205"/>
      <c r="J60" s="206"/>
      <c r="K60" s="157"/>
      <c r="L60" s="157"/>
      <c r="M60" s="207"/>
      <c r="N60" s="147"/>
      <c r="O60" s="147"/>
      <c r="P60" s="147"/>
      <c r="Q60" s="147"/>
      <c r="R60" s="147"/>
      <c r="S60" s="147"/>
      <c r="T60" s="147"/>
      <c r="U60" s="147"/>
      <c r="V60" s="139"/>
      <c r="W60" s="139"/>
      <c r="X60" s="139"/>
      <c r="Y60" s="139"/>
    </row>
    <row r="61" spans="7:25" ht="15.75">
      <c r="G61" s="156" t="s">
        <v>260</v>
      </c>
      <c r="H61" s="157"/>
      <c r="I61" s="157"/>
      <c r="J61" s="157"/>
      <c r="K61" s="157"/>
      <c r="L61" s="157"/>
      <c r="M61" s="207"/>
      <c r="N61" s="147"/>
      <c r="O61" s="147"/>
      <c r="P61" s="147"/>
      <c r="Q61" s="147"/>
      <c r="R61" s="147"/>
      <c r="S61" s="147"/>
      <c r="T61" s="147"/>
      <c r="U61" s="147"/>
      <c r="V61" s="139"/>
      <c r="W61" s="139"/>
      <c r="X61" s="139"/>
      <c r="Y61" s="139"/>
    </row>
    <row r="62" spans="7:25" ht="15.75">
      <c r="G62" s="156" t="s">
        <v>261</v>
      </c>
      <c r="H62" s="157"/>
      <c r="I62" s="157"/>
      <c r="J62" s="157"/>
      <c r="K62" s="157"/>
      <c r="L62" s="157"/>
      <c r="M62" s="207"/>
      <c r="N62" s="147"/>
      <c r="O62" s="147"/>
      <c r="P62" s="147"/>
      <c r="Q62" s="147"/>
      <c r="R62" s="147"/>
      <c r="S62" s="147"/>
      <c r="T62" s="147"/>
      <c r="U62" s="147"/>
      <c r="V62" s="139"/>
      <c r="W62" s="139"/>
      <c r="X62" s="139"/>
      <c r="Y62" s="139"/>
    </row>
    <row r="63" spans="7:25" ht="15">
      <c r="G63" s="205" t="s">
        <v>262</v>
      </c>
      <c r="H63" s="157"/>
      <c r="I63" s="157"/>
      <c r="J63" s="157"/>
      <c r="K63" s="157"/>
      <c r="L63" s="157"/>
      <c r="M63" s="157"/>
      <c r="N63" s="147"/>
      <c r="O63" s="147"/>
      <c r="P63" s="147"/>
      <c r="Q63" s="147"/>
      <c r="R63" s="147"/>
      <c r="S63" s="147"/>
      <c r="T63" s="147"/>
      <c r="U63" s="147"/>
      <c r="V63" s="139"/>
      <c r="W63" s="139"/>
      <c r="X63" s="139"/>
      <c r="Y63" s="139"/>
    </row>
    <row r="64" spans="2:25" ht="6" customHeight="1"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</row>
    <row r="65" spans="2:25" ht="20.25">
      <c r="B65" s="208" t="s">
        <v>263</v>
      </c>
      <c r="Q65" s="139"/>
      <c r="R65" s="139"/>
      <c r="S65" s="139"/>
      <c r="T65" s="139"/>
      <c r="U65" s="139"/>
      <c r="V65" s="139"/>
      <c r="W65" s="139"/>
      <c r="X65" s="139"/>
      <c r="Y65" s="139"/>
    </row>
    <row r="66" spans="2:25" ht="12.75">
      <c r="B66" t="s">
        <v>264</v>
      </c>
      <c r="Q66" s="139"/>
      <c r="R66" s="139"/>
      <c r="S66" s="139"/>
      <c r="T66" s="139"/>
      <c r="U66" s="139"/>
      <c r="V66" s="139"/>
      <c r="W66" s="139"/>
      <c r="X66" s="139"/>
      <c r="Y66" s="139"/>
    </row>
    <row r="67" spans="2:25" ht="15.75">
      <c r="B67" s="24" t="s">
        <v>265</v>
      </c>
      <c r="C67" s="150"/>
      <c r="D67" s="150"/>
      <c r="E67" s="150"/>
      <c r="F67" s="147"/>
      <c r="G67" s="24" t="s">
        <v>266</v>
      </c>
      <c r="H67" s="150"/>
      <c r="I67" s="150"/>
      <c r="J67" s="150"/>
      <c r="Q67" s="139"/>
      <c r="R67" s="139"/>
      <c r="S67" s="139"/>
      <c r="T67" s="139"/>
      <c r="U67" s="139"/>
      <c r="V67" s="139"/>
      <c r="W67" s="139"/>
      <c r="X67" s="139"/>
      <c r="Y67" s="139"/>
    </row>
    <row r="68" spans="2:25" ht="15.75">
      <c r="B68" s="151" t="s">
        <v>213</v>
      </c>
      <c r="C68" s="152">
        <f>ACOS((E69^2+E70^2-E68^2)/(2*E69*E70))*180/PI()</f>
        <v>51.31781254651056</v>
      </c>
      <c r="D68" s="153" t="s">
        <v>152</v>
      </c>
      <c r="E68" s="209">
        <v>5</v>
      </c>
      <c r="G68" s="153" t="s">
        <v>213</v>
      </c>
      <c r="H68" s="209">
        <v>60</v>
      </c>
      <c r="I68" s="151" t="s">
        <v>152</v>
      </c>
      <c r="J68" s="152">
        <f>SQRT(J69^2+J70^2-2*J69*J70*COS(H68*PI()/180))</f>
        <v>0.9999999999999999</v>
      </c>
      <c r="Q68" s="139"/>
      <c r="R68" s="139"/>
      <c r="S68" s="139"/>
      <c r="T68" s="139"/>
      <c r="U68" s="139"/>
      <c r="V68" s="139"/>
      <c r="W68" s="139"/>
      <c r="X68" s="139"/>
      <c r="Y68" s="139"/>
    </row>
    <row r="69" spans="2:25" ht="15.75">
      <c r="B69" s="151" t="s">
        <v>214</v>
      </c>
      <c r="C69" s="152">
        <f>ACOS((E68^2+E70^2-E69^2)/(2*E68*E70))*180/PI()</f>
        <v>110.48731511472266</v>
      </c>
      <c r="D69" s="153" t="s">
        <v>153</v>
      </c>
      <c r="E69" s="210">
        <v>6</v>
      </c>
      <c r="G69" s="151" t="s">
        <v>214</v>
      </c>
      <c r="H69" s="152">
        <f>ASIN(J69*SIN(H68*PI()/180)/J68)*180/PI()</f>
        <v>60.00000000000001</v>
      </c>
      <c r="I69" s="153" t="s">
        <v>153</v>
      </c>
      <c r="J69" s="210">
        <v>1</v>
      </c>
      <c r="Q69" s="139"/>
      <c r="R69" s="139"/>
      <c r="S69" s="139"/>
      <c r="T69" s="139"/>
      <c r="U69" s="139"/>
      <c r="V69" s="139"/>
      <c r="W69" s="139"/>
      <c r="X69" s="139"/>
      <c r="Y69" s="139"/>
    </row>
    <row r="70" spans="2:25" ht="15.75">
      <c r="B70" s="151" t="s">
        <v>215</v>
      </c>
      <c r="C70" s="152">
        <f>ACOS((E68^2+E69^2-E70^2)/(2*E68*E69))*180/PI()</f>
        <v>18.194872338766785</v>
      </c>
      <c r="D70" s="153" t="s">
        <v>154</v>
      </c>
      <c r="E70" s="210">
        <v>2</v>
      </c>
      <c r="G70" s="151" t="s">
        <v>215</v>
      </c>
      <c r="H70" s="152">
        <f>180-H69-H68</f>
        <v>60</v>
      </c>
      <c r="I70" s="153" t="s">
        <v>154</v>
      </c>
      <c r="J70" s="211">
        <v>1</v>
      </c>
      <c r="Q70" s="139"/>
      <c r="R70" s="139"/>
      <c r="S70" s="139"/>
      <c r="T70" s="139"/>
      <c r="U70" s="139"/>
      <c r="V70" s="139"/>
      <c r="W70" s="139"/>
      <c r="X70" s="139"/>
      <c r="Y70" s="139"/>
    </row>
    <row r="71" spans="2:25" ht="15.75">
      <c r="B71" s="156" t="s">
        <v>247</v>
      </c>
      <c r="C71" s="157"/>
      <c r="D71" s="157"/>
      <c r="E71" s="157"/>
      <c r="G71" s="156" t="s">
        <v>230</v>
      </c>
      <c r="H71" s="157"/>
      <c r="I71" s="157"/>
      <c r="J71" s="157"/>
      <c r="Q71" s="139"/>
      <c r="R71" s="139"/>
      <c r="S71" s="139"/>
      <c r="T71" s="139"/>
      <c r="U71" s="139"/>
      <c r="V71" s="139"/>
      <c r="W71" s="139"/>
      <c r="X71" s="139"/>
      <c r="Y71" s="139"/>
    </row>
    <row r="72" spans="2:25" ht="15.75">
      <c r="B72" s="156" t="s">
        <v>267</v>
      </c>
      <c r="C72" s="157"/>
      <c r="D72" s="157"/>
      <c r="E72" s="157"/>
      <c r="G72" s="156" t="s">
        <v>268</v>
      </c>
      <c r="H72" s="157"/>
      <c r="I72" s="157"/>
      <c r="J72" s="157"/>
      <c r="Q72" s="139"/>
      <c r="R72" s="139"/>
      <c r="S72" s="139"/>
      <c r="T72" s="139"/>
      <c r="U72" s="139"/>
      <c r="V72" s="139"/>
      <c r="W72" s="139"/>
      <c r="X72" s="139"/>
      <c r="Y72" s="139"/>
    </row>
    <row r="73" spans="2:25" ht="15.75">
      <c r="B73" s="156" t="s">
        <v>256</v>
      </c>
      <c r="C73" s="156"/>
      <c r="D73" s="156"/>
      <c r="E73" s="157"/>
      <c r="G73" s="156" t="s">
        <v>247</v>
      </c>
      <c r="H73" s="156"/>
      <c r="I73" s="156"/>
      <c r="J73" s="157"/>
      <c r="Q73" s="139"/>
      <c r="R73" s="139"/>
      <c r="S73" s="139"/>
      <c r="T73" s="139"/>
      <c r="U73" s="139"/>
      <c r="V73" s="139"/>
      <c r="W73" s="139"/>
      <c r="X73" s="139"/>
      <c r="Y73" s="139"/>
    </row>
    <row r="74" spans="17:25" ht="12.75">
      <c r="Q74" s="139"/>
      <c r="R74" s="139"/>
      <c r="S74" s="139"/>
      <c r="T74" s="139"/>
      <c r="U74" s="139"/>
      <c r="V74" s="139"/>
      <c r="W74" s="139"/>
      <c r="X74" s="139"/>
      <c r="Y74" s="139"/>
    </row>
    <row r="75" s="139" customFormat="1" ht="9" customHeight="1">
      <c r="B75" s="43"/>
    </row>
    <row r="76" s="139" customFormat="1" ht="12.75"/>
    <row r="77" s="139" customFormat="1" ht="12.75"/>
    <row r="78" s="139" customFormat="1" ht="12.75"/>
    <row r="79" s="139" customFormat="1" ht="12.75"/>
    <row r="80" s="139" customFormat="1" ht="12.75"/>
    <row r="81" s="139" customFormat="1" ht="12.75"/>
    <row r="82" s="139" customFormat="1" ht="12.75"/>
    <row r="83" s="139" customFormat="1" ht="12.75"/>
    <row r="84" s="139" customFormat="1" ht="12.75"/>
    <row r="85" s="139" customFormat="1" ht="12.75"/>
    <row r="86" s="139" customFormat="1" ht="12.75"/>
    <row r="87" s="139" customFormat="1" ht="12.75"/>
    <row r="88" s="139" customFormat="1" ht="12.75"/>
    <row r="89" s="139" customFormat="1" ht="12.75"/>
    <row r="90" s="139" customFormat="1" ht="12.75"/>
    <row r="91" s="139" customFormat="1" ht="12.75"/>
    <row r="92" s="139" customFormat="1" ht="12.75"/>
    <row r="93" s="139" customFormat="1" ht="12.75"/>
    <row r="94" s="139" customFormat="1" ht="12.75"/>
    <row r="95" s="139" customFormat="1" ht="12.75"/>
    <row r="96" s="139" customFormat="1" ht="12.75"/>
    <row r="97" s="139" customFormat="1" ht="12.75"/>
    <row r="98" s="139" customFormat="1" ht="12.75"/>
    <row r="99" s="139" customFormat="1" ht="12.75"/>
    <row r="100" s="139" customFormat="1" ht="12.75"/>
    <row r="101" s="139" customFormat="1" ht="12.75"/>
    <row r="102" s="139" customFormat="1" ht="12.75"/>
    <row r="103" s="139" customFormat="1" ht="12.75"/>
    <row r="104" s="139" customFormat="1" ht="12.75"/>
    <row r="105" s="139" customFormat="1" ht="12.75"/>
    <row r="106" s="139" customFormat="1" ht="12.75"/>
    <row r="107" s="139" customFormat="1" ht="12.75"/>
    <row r="108" s="139" customFormat="1" ht="12.75"/>
    <row r="109" s="139" customFormat="1" ht="12.75"/>
    <row r="110" s="139" customFormat="1" ht="12.75"/>
    <row r="111" s="139" customFormat="1" ht="12.75"/>
    <row r="112" s="139" customFormat="1" ht="12.75"/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D5" sqref="D5"/>
    </sheetView>
  </sheetViews>
  <sheetFormatPr defaultColWidth="9.140625" defaultRowHeight="12.75"/>
  <cols>
    <col min="8" max="8" width="11.7109375" style="0" customWidth="1"/>
    <col min="14" max="14" width="12.00390625" style="0" customWidth="1"/>
  </cols>
  <sheetData>
    <row r="1" spans="14:16" ht="12.75">
      <c r="N1" s="187"/>
      <c r="O1" s="270"/>
      <c r="P1" s="270"/>
    </row>
    <row r="2" spans="14:16" ht="13.5" thickBot="1">
      <c r="N2" s="187"/>
      <c r="O2" s="270"/>
      <c r="P2" s="270"/>
    </row>
    <row r="3" spans="1:21" ht="15.75">
      <c r="A3" s="39"/>
      <c r="B3" s="40"/>
      <c r="C3" s="1" t="s">
        <v>34</v>
      </c>
      <c r="D3" s="1"/>
      <c r="E3" s="1"/>
      <c r="F3" s="1"/>
      <c r="G3" s="1"/>
      <c r="H3" s="41"/>
      <c r="J3" s="478"/>
      <c r="K3" s="479" t="s">
        <v>476</v>
      </c>
      <c r="L3" s="479"/>
      <c r="M3" s="480"/>
      <c r="N3" s="481"/>
      <c r="P3" s="554"/>
      <c r="Q3" s="555"/>
      <c r="R3" s="555"/>
      <c r="S3" s="555"/>
      <c r="T3" s="555"/>
      <c r="U3" s="556"/>
    </row>
    <row r="4" spans="1:21" ht="15.75">
      <c r="A4" s="42"/>
      <c r="B4" s="43" t="s">
        <v>35</v>
      </c>
      <c r="C4" s="44"/>
      <c r="D4" s="44"/>
      <c r="E4" s="44"/>
      <c r="F4" s="44"/>
      <c r="G4" s="44"/>
      <c r="H4" s="45"/>
      <c r="J4" s="482"/>
      <c r="K4" s="483"/>
      <c r="L4" s="483"/>
      <c r="M4" s="483"/>
      <c r="N4" s="484"/>
      <c r="P4" s="557"/>
      <c r="Q4" s="397"/>
      <c r="R4" s="397"/>
      <c r="S4" s="397"/>
      <c r="T4" s="397"/>
      <c r="U4" s="558"/>
    </row>
    <row r="5" spans="1:21" ht="15.75">
      <c r="A5" s="42"/>
      <c r="B5" s="492" t="s">
        <v>2</v>
      </c>
      <c r="C5" s="492" t="s">
        <v>3</v>
      </c>
      <c r="D5" s="492" t="s">
        <v>4</v>
      </c>
      <c r="E5" s="492" t="s">
        <v>5</v>
      </c>
      <c r="F5" s="492" t="s">
        <v>6</v>
      </c>
      <c r="G5" s="492" t="s">
        <v>7</v>
      </c>
      <c r="H5" s="493" t="s">
        <v>23</v>
      </c>
      <c r="J5" s="482"/>
      <c r="K5" s="483"/>
      <c r="L5" s="483"/>
      <c r="M5" s="483"/>
      <c r="N5" s="484"/>
      <c r="P5" s="557"/>
      <c r="Q5" s="397"/>
      <c r="R5" s="397"/>
      <c r="S5" s="397"/>
      <c r="T5" s="397"/>
      <c r="U5" s="558"/>
    </row>
    <row r="6" spans="1:21" ht="15.75">
      <c r="A6" s="42"/>
      <c r="B6" s="494">
        <v>3.5</v>
      </c>
      <c r="C6" s="495">
        <f>B6/TAN(E6*PI()/180)</f>
        <v>0.6171444324796277</v>
      </c>
      <c r="D6" s="496">
        <f>SQRT(B6^2+C6^2)</f>
        <v>3.5539931416001074</v>
      </c>
      <c r="E6" s="494">
        <v>80</v>
      </c>
      <c r="F6" s="496">
        <f>90-E6</f>
        <v>10</v>
      </c>
      <c r="G6" s="497">
        <v>90</v>
      </c>
      <c r="H6" s="498">
        <f>B6+C6+D6</f>
        <v>7.671137574079735</v>
      </c>
      <c r="J6" s="482"/>
      <c r="K6" s="483"/>
      <c r="L6" s="483"/>
      <c r="M6" s="483"/>
      <c r="N6" s="484"/>
      <c r="P6" s="557"/>
      <c r="Q6" s="397"/>
      <c r="R6" s="397"/>
      <c r="S6" s="397"/>
      <c r="T6" s="397"/>
      <c r="U6" s="558"/>
    </row>
    <row r="7" spans="1:21" ht="15.75">
      <c r="A7" s="42"/>
      <c r="B7" s="499">
        <v>6</v>
      </c>
      <c r="C7" s="500">
        <f>SQRT(D7^2-B7^2)</f>
        <v>9.219544457292887</v>
      </c>
      <c r="D7" s="494">
        <v>11</v>
      </c>
      <c r="E7" s="496">
        <f>ASIN(B7/D7)*180/PI()</f>
        <v>33.055731150854</v>
      </c>
      <c r="F7" s="496">
        <f>ASIN(C7/D7)*180/PI()</f>
        <v>56.944268849145985</v>
      </c>
      <c r="G7" s="497">
        <v>90</v>
      </c>
      <c r="H7" s="498">
        <f>B7+C7+D7</f>
        <v>26.219544457292887</v>
      </c>
      <c r="J7" s="482"/>
      <c r="K7" s="483"/>
      <c r="L7" s="483"/>
      <c r="M7" s="483"/>
      <c r="N7" s="484"/>
      <c r="P7" s="557"/>
      <c r="Q7" s="397"/>
      <c r="R7" s="397"/>
      <c r="S7" s="397"/>
      <c r="T7" s="397"/>
      <c r="U7" s="558"/>
    </row>
    <row r="8" spans="1:21" ht="15.75">
      <c r="A8" s="42"/>
      <c r="B8" s="501">
        <v>4</v>
      </c>
      <c r="C8" s="502">
        <v>6</v>
      </c>
      <c r="D8" s="496">
        <f>SQRT(B8^2+C8^2)</f>
        <v>7.211102550927978</v>
      </c>
      <c r="E8" s="496">
        <f>ASIN(B8/D8)*180/PI()</f>
        <v>33.690067525979785</v>
      </c>
      <c r="F8" s="496">
        <f>90-E8</f>
        <v>56.309932474020215</v>
      </c>
      <c r="G8" s="497">
        <v>90</v>
      </c>
      <c r="H8" s="498">
        <f>B8+C8+D8</f>
        <v>17.21110255092798</v>
      </c>
      <c r="J8" s="485" t="s">
        <v>2</v>
      </c>
      <c r="K8" s="477" t="s">
        <v>3</v>
      </c>
      <c r="L8" s="477" t="s">
        <v>4</v>
      </c>
      <c r="M8" s="477" t="s">
        <v>477</v>
      </c>
      <c r="N8" s="486" t="s">
        <v>22</v>
      </c>
      <c r="P8" s="557"/>
      <c r="Q8" s="397"/>
      <c r="R8" s="397"/>
      <c r="S8" s="397"/>
      <c r="T8" s="397"/>
      <c r="U8" s="558"/>
    </row>
    <row r="9" spans="1:21" ht="15.75">
      <c r="A9" s="42"/>
      <c r="B9" s="44"/>
      <c r="C9" s="44"/>
      <c r="D9" s="44"/>
      <c r="E9" s="44"/>
      <c r="F9" s="44"/>
      <c r="G9" s="44"/>
      <c r="H9" s="45"/>
      <c r="J9" s="503">
        <v>3</v>
      </c>
      <c r="K9" s="504">
        <v>4</v>
      </c>
      <c r="L9" s="504">
        <v>5</v>
      </c>
      <c r="M9" s="505">
        <f>0.5*(J9+K9+L9)</f>
        <v>6</v>
      </c>
      <c r="N9" s="506">
        <f>SQRT(M9*(M9-J9)*(M9-K9)*(M9-L9))</f>
        <v>6</v>
      </c>
      <c r="P9" s="557"/>
      <c r="Q9" s="397"/>
      <c r="R9" s="397"/>
      <c r="S9" s="397"/>
      <c r="T9" s="397"/>
      <c r="U9" s="558"/>
    </row>
    <row r="10" spans="1:21" ht="16.5" thickBot="1">
      <c r="A10" s="65"/>
      <c r="B10" s="66"/>
      <c r="C10" s="66"/>
      <c r="D10" s="66"/>
      <c r="E10" s="66"/>
      <c r="F10" s="66"/>
      <c r="G10" s="66"/>
      <c r="H10" s="71"/>
      <c r="J10" s="490" t="s">
        <v>479</v>
      </c>
      <c r="K10" s="483"/>
      <c r="L10" s="483"/>
      <c r="M10" s="483"/>
      <c r="N10" s="484"/>
      <c r="P10" s="557"/>
      <c r="Q10" s="397"/>
      <c r="R10" s="397"/>
      <c r="S10" s="397"/>
      <c r="T10" s="397"/>
      <c r="U10" s="558"/>
    </row>
    <row r="11" spans="10:21" ht="13.5" thickBot="1">
      <c r="J11" s="487"/>
      <c r="K11" s="491" t="s">
        <v>478</v>
      </c>
      <c r="L11" s="488"/>
      <c r="M11" s="488"/>
      <c r="N11" s="489"/>
      <c r="P11" s="557"/>
      <c r="Q11" s="397"/>
      <c r="R11" s="397"/>
      <c r="S11" s="397"/>
      <c r="T11" s="397"/>
      <c r="U11" s="558"/>
    </row>
    <row r="12" spans="16:21" ht="12.75">
      <c r="P12" s="557"/>
      <c r="Q12" s="397"/>
      <c r="R12" s="397"/>
      <c r="S12" s="397"/>
      <c r="T12" s="397"/>
      <c r="U12" s="558"/>
    </row>
    <row r="13" spans="16:21" ht="12.75">
      <c r="P13" s="557"/>
      <c r="Q13" s="397"/>
      <c r="R13" s="397"/>
      <c r="S13" s="397"/>
      <c r="T13" s="397"/>
      <c r="U13" s="558"/>
    </row>
    <row r="14" spans="16:21" ht="12.75">
      <c r="P14" s="557"/>
      <c r="Q14" s="397"/>
      <c r="R14" s="397"/>
      <c r="S14" s="397"/>
      <c r="T14" s="397"/>
      <c r="U14" s="558"/>
    </row>
    <row r="15" spans="16:21" ht="12.75">
      <c r="P15" s="557"/>
      <c r="Q15" s="397"/>
      <c r="R15" s="397"/>
      <c r="S15" s="397"/>
      <c r="T15" s="397"/>
      <c r="U15" s="558"/>
    </row>
    <row r="16" spans="16:21" ht="12.75">
      <c r="P16" s="557"/>
      <c r="Q16" s="397"/>
      <c r="R16" s="397"/>
      <c r="S16" s="397"/>
      <c r="T16" s="397"/>
      <c r="U16" s="558"/>
    </row>
    <row r="17" spans="16:21" ht="12.75">
      <c r="P17" s="557"/>
      <c r="Q17" s="397"/>
      <c r="R17" s="397"/>
      <c r="S17" s="397"/>
      <c r="T17" s="397"/>
      <c r="U17" s="558"/>
    </row>
    <row r="18" spans="16:21" ht="12.75">
      <c r="P18" s="557"/>
      <c r="Q18" s="397" t="s">
        <v>492</v>
      </c>
      <c r="R18" s="397"/>
      <c r="S18" s="397"/>
      <c r="T18" s="397"/>
      <c r="U18" s="558"/>
    </row>
    <row r="19" spans="16:21" ht="12.75">
      <c r="P19" s="557"/>
      <c r="Q19" s="397"/>
      <c r="R19" s="397"/>
      <c r="S19" s="397"/>
      <c r="T19" s="397"/>
      <c r="U19" s="558"/>
    </row>
    <row r="20" spans="16:21" ht="15.75">
      <c r="P20" s="557"/>
      <c r="Q20" s="477" t="s">
        <v>5</v>
      </c>
      <c r="R20" s="477" t="s">
        <v>3</v>
      </c>
      <c r="S20" s="477" t="s">
        <v>4</v>
      </c>
      <c r="T20" s="477" t="s">
        <v>22</v>
      </c>
      <c r="U20" s="558"/>
    </row>
    <row r="21" spans="16:21" ht="12.75">
      <c r="P21" s="557"/>
      <c r="Q21" s="504">
        <v>3</v>
      </c>
      <c r="R21" s="504">
        <v>4</v>
      </c>
      <c r="S21" s="504">
        <v>5</v>
      </c>
      <c r="T21" s="505">
        <f>R21*S21*SIN(Q21*PI()/180)</f>
        <v>1.0467191248588765</v>
      </c>
      <c r="U21" s="558"/>
    </row>
    <row r="22" spans="16:21" ht="12.75">
      <c r="P22" s="562" t="s">
        <v>479</v>
      </c>
      <c r="Q22" s="397"/>
      <c r="R22" s="397"/>
      <c r="S22" s="397"/>
      <c r="T22" s="397"/>
      <c r="U22" s="558"/>
    </row>
    <row r="23" spans="16:21" ht="12.75">
      <c r="P23" s="557"/>
      <c r="Q23" s="397" t="s">
        <v>493</v>
      </c>
      <c r="R23" s="397"/>
      <c r="S23" s="397"/>
      <c r="T23" s="397"/>
      <c r="U23" s="558"/>
    </row>
    <row r="24" spans="16:21" ht="13.5" thickBot="1">
      <c r="P24" s="559"/>
      <c r="Q24" s="560"/>
      <c r="R24" s="560"/>
      <c r="S24" s="560"/>
      <c r="T24" s="560"/>
      <c r="U24" s="56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89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4.421875" style="23" customWidth="1"/>
    <col min="2" max="2" width="5.57421875" style="23" customWidth="1"/>
    <col min="3" max="11" width="9.140625" style="23" customWidth="1"/>
    <col min="12" max="12" width="2.00390625" style="23" customWidth="1"/>
    <col min="13" max="20" width="9.140625" style="23" customWidth="1"/>
    <col min="21" max="21" width="2.57421875" style="23" customWidth="1"/>
    <col min="22" max="22" width="5.28125" style="23" customWidth="1"/>
    <col min="23" max="23" width="3.57421875" style="23" customWidth="1"/>
    <col min="24" max="24" width="3.28125" style="23" customWidth="1"/>
    <col min="25" max="25" width="3.421875" style="23" customWidth="1"/>
    <col min="26" max="26" width="3.57421875" style="23" customWidth="1"/>
    <col min="27" max="27" width="2.140625" style="23" customWidth="1"/>
    <col min="28" max="28" width="4.28125" style="23" customWidth="1"/>
    <col min="29" max="29" width="1.8515625" style="23" customWidth="1"/>
    <col min="30" max="30" width="4.28125" style="23" customWidth="1"/>
    <col min="31" max="31" width="2.28125" style="23" customWidth="1"/>
    <col min="32" max="32" width="4.8515625" style="23" customWidth="1"/>
    <col min="33" max="33" width="2.421875" style="23" customWidth="1"/>
    <col min="34" max="34" width="3.8515625" style="23" customWidth="1"/>
    <col min="35" max="35" width="6.00390625" style="23" customWidth="1"/>
    <col min="36" max="36" width="3.00390625" style="23" customWidth="1"/>
    <col min="37" max="37" width="6.8515625" style="23" customWidth="1"/>
    <col min="38" max="16384" width="9.140625" style="23" customWidth="1"/>
  </cols>
  <sheetData>
    <row r="1" spans="1:27" ht="15.75">
      <c r="A1" s="33" t="s">
        <v>0</v>
      </c>
      <c r="Q1" s="55"/>
      <c r="R1" s="55"/>
      <c r="S1" s="55"/>
      <c r="T1" s="55"/>
      <c r="U1" s="55"/>
      <c r="V1" s="55"/>
      <c r="W1" s="55"/>
      <c r="X1" s="55"/>
      <c r="Y1" s="55"/>
      <c r="Z1" s="55"/>
      <c r="AA1" s="21"/>
    </row>
    <row r="2" spans="1:27" ht="15.75">
      <c r="A2" s="33" t="s">
        <v>37</v>
      </c>
      <c r="Q2" s="55"/>
      <c r="R2" s="55"/>
      <c r="S2" s="55"/>
      <c r="T2" s="55"/>
      <c r="U2" s="55"/>
      <c r="V2" s="55"/>
      <c r="W2" s="55"/>
      <c r="X2" s="55"/>
      <c r="Y2" s="55"/>
      <c r="Z2" s="55"/>
      <c r="AA2" s="21"/>
    </row>
    <row r="3" spans="1:27" ht="15.75">
      <c r="A3" s="33" t="s">
        <v>39</v>
      </c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</row>
    <row r="4" spans="1:27" ht="15.75">
      <c r="A4" s="33" t="s">
        <v>40</v>
      </c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1:27" ht="15.75">
      <c r="A5" s="33" t="s">
        <v>46</v>
      </c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</row>
    <row r="6" spans="1:27" ht="15.75">
      <c r="A6" s="33" t="s">
        <v>47</v>
      </c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1:27" ht="15.75">
      <c r="A7" s="33" t="s">
        <v>48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1:27" ht="15.75">
      <c r="A8" s="33" t="s">
        <v>49</v>
      </c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</row>
    <row r="9" spans="1:27" ht="15.75">
      <c r="A9" s="33" t="s">
        <v>50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ht="15.75">
      <c r="A10" s="33" t="s">
        <v>51</v>
      </c>
    </row>
    <row r="11" ht="15.75">
      <c r="A11" s="33" t="s">
        <v>52</v>
      </c>
    </row>
    <row r="12" ht="15.75">
      <c r="A12" s="33" t="s">
        <v>53</v>
      </c>
    </row>
    <row r="13" ht="15.75">
      <c r="A13" s="33" t="s">
        <v>54</v>
      </c>
    </row>
    <row r="14" ht="15.75">
      <c r="A14" s="33" t="s">
        <v>55</v>
      </c>
    </row>
    <row r="15" ht="15.75">
      <c r="A15" s="33" t="s">
        <v>56</v>
      </c>
    </row>
    <row r="16" ht="15.75">
      <c r="A16" s="33" t="s">
        <v>57</v>
      </c>
    </row>
    <row r="17" spans="1:25" ht="18">
      <c r="A17" s="33" t="s">
        <v>58</v>
      </c>
      <c r="Q17" s="55"/>
      <c r="R17" s="55"/>
      <c r="S17" s="55"/>
      <c r="T17" s="55"/>
      <c r="U17" s="55"/>
      <c r="V17" s="55"/>
      <c r="W17" s="55"/>
      <c r="X17" s="128"/>
      <c r="Y17" s="128"/>
    </row>
    <row r="18" spans="1:25" ht="18">
      <c r="A18" s="33" t="s">
        <v>59</v>
      </c>
      <c r="Q18" s="55"/>
      <c r="R18" s="55"/>
      <c r="S18" s="55"/>
      <c r="T18" s="55"/>
      <c r="U18" s="55"/>
      <c r="V18" s="55"/>
      <c r="W18" s="55"/>
      <c r="X18" s="128"/>
      <c r="Y18" s="128"/>
    </row>
    <row r="19" spans="1:25" ht="18">
      <c r="A19" s="33" t="s">
        <v>60</v>
      </c>
      <c r="Q19" s="55"/>
      <c r="R19" s="55"/>
      <c r="S19" s="55"/>
      <c r="T19" s="55"/>
      <c r="U19" s="55"/>
      <c r="V19" s="55"/>
      <c r="W19" s="55"/>
      <c r="X19" s="128"/>
      <c r="Y19" s="128"/>
    </row>
    <row r="20" spans="1:25" ht="18">
      <c r="A20" s="33" t="s">
        <v>61</v>
      </c>
      <c r="M20" s="55"/>
      <c r="N20" s="55"/>
      <c r="O20" s="128"/>
      <c r="P20" s="128"/>
      <c r="Q20" s="128"/>
      <c r="R20" s="128"/>
      <c r="S20" s="128"/>
      <c r="T20" s="128"/>
      <c r="U20" s="128"/>
      <c r="V20" s="128"/>
      <c r="W20" s="128"/>
      <c r="X20" s="129"/>
      <c r="Y20" s="129"/>
    </row>
    <row r="21" ht="15.75">
      <c r="A21" s="33" t="s">
        <v>62</v>
      </c>
    </row>
    <row r="22" ht="15.75">
      <c r="A22" s="33" t="s">
        <v>63</v>
      </c>
    </row>
    <row r="23" ht="15.75">
      <c r="A23" s="33" t="s">
        <v>64</v>
      </c>
    </row>
    <row r="24" ht="15.75">
      <c r="A24" s="33" t="s">
        <v>65</v>
      </c>
    </row>
    <row r="25" ht="15.75">
      <c r="A25" s="33" t="s">
        <v>66</v>
      </c>
    </row>
    <row r="26" ht="15.75">
      <c r="A26" s="33" t="s">
        <v>67</v>
      </c>
    </row>
    <row r="27" ht="15.75">
      <c r="A27" s="33" t="s">
        <v>68</v>
      </c>
    </row>
    <row r="28" ht="15.75">
      <c r="A28" s="33" t="s">
        <v>69</v>
      </c>
    </row>
    <row r="29" ht="15.75">
      <c r="A29" s="33" t="s">
        <v>71</v>
      </c>
    </row>
    <row r="30" ht="15.75">
      <c r="A30" s="33" t="s">
        <v>73</v>
      </c>
    </row>
    <row r="31" ht="15.75">
      <c r="A31" s="33" t="s">
        <v>74</v>
      </c>
    </row>
    <row r="32" ht="15.75">
      <c r="A32" s="33" t="s">
        <v>78</v>
      </c>
    </row>
    <row r="33" ht="15.75">
      <c r="A33" s="33" t="s">
        <v>84</v>
      </c>
    </row>
    <row r="34" ht="15.75">
      <c r="A34" s="33" t="s">
        <v>85</v>
      </c>
    </row>
    <row r="35" ht="15.75">
      <c r="A35" s="33" t="s">
        <v>86</v>
      </c>
    </row>
    <row r="36" ht="15.75">
      <c r="A36" s="33" t="s">
        <v>87</v>
      </c>
    </row>
    <row r="37" ht="15.75">
      <c r="A37" s="33" t="s">
        <v>88</v>
      </c>
    </row>
    <row r="38" ht="15.75">
      <c r="A38" s="33" t="s">
        <v>89</v>
      </c>
    </row>
    <row r="39" ht="15.75">
      <c r="A39" s="33" t="s">
        <v>91</v>
      </c>
    </row>
    <row r="40" ht="15.75">
      <c r="A40" s="33" t="s">
        <v>92</v>
      </c>
    </row>
    <row r="41" ht="15.75">
      <c r="A41" s="33" t="s">
        <v>93</v>
      </c>
    </row>
    <row r="42" ht="15.75">
      <c r="A42" s="33" t="s">
        <v>94</v>
      </c>
    </row>
    <row r="43" ht="15.75">
      <c r="A43" s="33" t="s">
        <v>95</v>
      </c>
    </row>
    <row r="44" ht="15.75">
      <c r="A44" s="33" t="s">
        <v>96</v>
      </c>
    </row>
    <row r="45" ht="15.75">
      <c r="A45" s="33" t="s">
        <v>97</v>
      </c>
    </row>
    <row r="46" ht="15.75">
      <c r="A46" s="33" t="s">
        <v>98</v>
      </c>
    </row>
    <row r="47" ht="15.75">
      <c r="A47" s="33" t="s">
        <v>99</v>
      </c>
    </row>
    <row r="48" ht="15.75">
      <c r="A48" s="33" t="s">
        <v>100</v>
      </c>
    </row>
    <row r="49" ht="15.75">
      <c r="A49" s="33" t="s">
        <v>101</v>
      </c>
    </row>
    <row r="50" ht="15.75">
      <c r="A50" s="33" t="s">
        <v>102</v>
      </c>
    </row>
    <row r="51" ht="15.75">
      <c r="A51" s="33" t="s">
        <v>103</v>
      </c>
    </row>
    <row r="52" ht="15.75">
      <c r="A52" s="33" t="s">
        <v>104</v>
      </c>
    </row>
    <row r="53" ht="15.75">
      <c r="A53" s="33" t="s">
        <v>105</v>
      </c>
    </row>
    <row r="54" ht="15.75">
      <c r="A54" s="33" t="s">
        <v>106</v>
      </c>
    </row>
    <row r="55" ht="15.75">
      <c r="A55" s="33" t="s">
        <v>107</v>
      </c>
    </row>
    <row r="56" ht="15.75">
      <c r="A56" s="33" t="s">
        <v>108</v>
      </c>
    </row>
    <row r="57" ht="15.75">
      <c r="A57" s="33" t="s">
        <v>109</v>
      </c>
    </row>
    <row r="58" ht="15.75">
      <c r="A58" s="33" t="s">
        <v>110</v>
      </c>
    </row>
    <row r="59" ht="15.75">
      <c r="A59" s="33" t="s">
        <v>111</v>
      </c>
    </row>
    <row r="60" ht="15.75">
      <c r="A60" s="33" t="s">
        <v>112</v>
      </c>
    </row>
    <row r="61" ht="15.75">
      <c r="A61" s="33" t="s">
        <v>113</v>
      </c>
    </row>
    <row r="62" ht="15.75">
      <c r="A62" s="33" t="s">
        <v>114</v>
      </c>
    </row>
    <row r="63" ht="15.75">
      <c r="A63" s="33" t="s">
        <v>114</v>
      </c>
    </row>
    <row r="64" ht="15.75">
      <c r="A64" s="33" t="s">
        <v>115</v>
      </c>
    </row>
    <row r="65" ht="15.75">
      <c r="A65" s="33" t="s">
        <v>116</v>
      </c>
    </row>
    <row r="66" ht="15.75">
      <c r="A66" s="33" t="s">
        <v>117</v>
      </c>
    </row>
    <row r="67" ht="15.75">
      <c r="A67" s="33" t="s">
        <v>118</v>
      </c>
    </row>
    <row r="68" ht="15.75">
      <c r="A68" s="33" t="s">
        <v>119</v>
      </c>
    </row>
    <row r="69" ht="15.75">
      <c r="A69" s="33" t="s">
        <v>120</v>
      </c>
    </row>
    <row r="70" ht="15.75">
      <c r="A70" s="33" t="s">
        <v>121</v>
      </c>
    </row>
    <row r="71" ht="15.75">
      <c r="A71" s="33" t="s">
        <v>122</v>
      </c>
    </row>
    <row r="72" ht="15.75">
      <c r="A72" s="33" t="s">
        <v>123</v>
      </c>
    </row>
    <row r="73" ht="15.75">
      <c r="A73" s="33" t="s">
        <v>124</v>
      </c>
    </row>
    <row r="74" ht="15.75">
      <c r="A74" s="33" t="s">
        <v>125</v>
      </c>
    </row>
    <row r="75" ht="15.75">
      <c r="A75" s="33" t="s">
        <v>126</v>
      </c>
    </row>
    <row r="76" ht="15.75">
      <c r="A76" s="33" t="s">
        <v>127</v>
      </c>
    </row>
    <row r="77" ht="15.75">
      <c r="A77" s="33" t="s">
        <v>128</v>
      </c>
    </row>
    <row r="78" ht="15.75">
      <c r="A78" s="33" t="s">
        <v>129</v>
      </c>
    </row>
    <row r="79" ht="15.75">
      <c r="A79" s="33" t="s">
        <v>130</v>
      </c>
    </row>
    <row r="80" ht="15.75">
      <c r="A80" s="33" t="s">
        <v>131</v>
      </c>
    </row>
    <row r="81" ht="15.75">
      <c r="A81" s="33" t="s">
        <v>132</v>
      </c>
    </row>
    <row r="82" ht="15.75">
      <c r="A82" s="33" t="s">
        <v>133</v>
      </c>
    </row>
    <row r="83" ht="15.75">
      <c r="A83" s="33" t="s">
        <v>134</v>
      </c>
    </row>
    <row r="84" ht="15.75">
      <c r="A84" s="33" t="s">
        <v>135</v>
      </c>
    </row>
    <row r="85" ht="15.75">
      <c r="A85" s="33" t="s">
        <v>136</v>
      </c>
    </row>
    <row r="86" ht="15.75">
      <c r="A86" s="33" t="s">
        <v>137</v>
      </c>
    </row>
    <row r="87" ht="15.75">
      <c r="A87" s="33" t="s">
        <v>138</v>
      </c>
    </row>
    <row r="88" ht="15.75">
      <c r="A88" s="33" t="s">
        <v>139</v>
      </c>
    </row>
    <row r="89" ht="15.75">
      <c r="A89" s="33" t="s">
        <v>140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K18" sqref="K18"/>
    </sheetView>
  </sheetViews>
  <sheetFormatPr defaultColWidth="9.140625" defaultRowHeight="12.75"/>
  <cols>
    <col min="2" max="2" width="2.421875" style="0" customWidth="1"/>
    <col min="3" max="3" width="13.421875" style="400" customWidth="1"/>
    <col min="4" max="4" width="11.7109375" style="400" customWidth="1"/>
    <col min="5" max="5" width="4.00390625" style="400" customWidth="1"/>
    <col min="6" max="6" width="12.00390625" style="400" customWidth="1"/>
    <col min="7" max="7" width="11.421875" style="400" customWidth="1"/>
    <col min="8" max="8" width="5.140625" style="400" customWidth="1"/>
    <col min="9" max="10" width="9.140625" style="400" customWidth="1"/>
    <col min="11" max="11" width="5.00390625" style="0" customWidth="1"/>
  </cols>
  <sheetData>
    <row r="1" spans="4:16" ht="20.25">
      <c r="D1" s="563" t="s">
        <v>494</v>
      </c>
      <c r="E1" s="564"/>
      <c r="F1" s="564"/>
      <c r="G1" s="564"/>
      <c r="H1" s="564"/>
      <c r="I1" s="564"/>
      <c r="J1" s="564"/>
      <c r="K1" s="565"/>
      <c r="L1" s="566"/>
      <c r="M1" s="507"/>
      <c r="N1" s="507"/>
      <c r="O1" s="507"/>
      <c r="P1" s="507"/>
    </row>
    <row r="2" spans="3:9" ht="12.75">
      <c r="C2" s="400" t="s">
        <v>411</v>
      </c>
      <c r="F2" s="400" t="s">
        <v>414</v>
      </c>
      <c r="I2" s="400" t="s">
        <v>415</v>
      </c>
    </row>
    <row r="3" spans="3:15" ht="12.75">
      <c r="C3" s="400" t="s">
        <v>412</v>
      </c>
      <c r="D3" s="400" t="s">
        <v>413</v>
      </c>
      <c r="E3" s="400" t="s">
        <v>417</v>
      </c>
      <c r="F3" s="400" t="s">
        <v>412</v>
      </c>
      <c r="G3" s="400" t="s">
        <v>413</v>
      </c>
      <c r="H3" s="400" t="s">
        <v>416</v>
      </c>
      <c r="I3" s="400" t="s">
        <v>412</v>
      </c>
      <c r="J3" s="400" t="s">
        <v>413</v>
      </c>
      <c r="K3" s="400" t="s">
        <v>42</v>
      </c>
      <c r="L3" s="400" t="s">
        <v>418</v>
      </c>
      <c r="N3" s="406" t="s">
        <v>424</v>
      </c>
      <c r="O3" s="407" t="s">
        <v>425</v>
      </c>
    </row>
    <row r="4" spans="3:15" ht="12.75">
      <c r="C4" s="402">
        <v>0.08</v>
      </c>
      <c r="D4" s="402">
        <v>400</v>
      </c>
      <c r="F4" s="402">
        <v>0.12</v>
      </c>
      <c r="G4" s="402">
        <v>5800</v>
      </c>
      <c r="I4" s="508">
        <f>(C4*D4+F4*G4)/J4</f>
        <v>0.11741935483870967</v>
      </c>
      <c r="J4" s="509">
        <f>D4+G4</f>
        <v>6200</v>
      </c>
      <c r="L4" s="509">
        <f>I4*J4</f>
        <v>728</v>
      </c>
      <c r="N4" s="406"/>
      <c r="O4" t="s">
        <v>426</v>
      </c>
    </row>
    <row r="5" ht="12.75">
      <c r="O5" t="s">
        <v>427</v>
      </c>
    </row>
    <row r="7" spans="3:9" ht="12.75">
      <c r="C7" s="400" t="s">
        <v>411</v>
      </c>
      <c r="F7" s="400" t="s">
        <v>414</v>
      </c>
      <c r="I7" s="400" t="s">
        <v>415</v>
      </c>
    </row>
    <row r="8" spans="3:15" ht="12.75">
      <c r="C8" s="400" t="s">
        <v>412</v>
      </c>
      <c r="D8" s="400" t="s">
        <v>413</v>
      </c>
      <c r="E8" s="400" t="s">
        <v>417</v>
      </c>
      <c r="F8" s="400" t="s">
        <v>412</v>
      </c>
      <c r="G8" s="400" t="s">
        <v>413</v>
      </c>
      <c r="H8" s="400" t="s">
        <v>416</v>
      </c>
      <c r="I8" s="400" t="s">
        <v>412</v>
      </c>
      <c r="J8" s="400" t="s">
        <v>413</v>
      </c>
      <c r="K8" s="400" t="s">
        <v>42</v>
      </c>
      <c r="L8" s="400" t="s">
        <v>418</v>
      </c>
      <c r="N8" s="406"/>
      <c r="O8" s="407"/>
    </row>
    <row r="9" spans="3:12" ht="12.75">
      <c r="C9" s="402">
        <v>0.7</v>
      </c>
      <c r="D9" s="509">
        <f>J9-G9</f>
        <v>6</v>
      </c>
      <c r="E9" s="404"/>
      <c r="F9" s="402">
        <v>0.4</v>
      </c>
      <c r="G9" s="402">
        <v>8</v>
      </c>
      <c r="H9" s="404"/>
      <c r="I9" s="508">
        <f>(C9*D9+F9*G9)/J9</f>
        <v>0.5285714285714286</v>
      </c>
      <c r="J9" s="402">
        <v>14</v>
      </c>
      <c r="K9" s="405"/>
      <c r="L9" s="508">
        <f>I9*J9</f>
        <v>7.4</v>
      </c>
    </row>
    <row r="12" spans="3:13" ht="12.75">
      <c r="C12" s="400" t="s">
        <v>411</v>
      </c>
      <c r="F12" s="400" t="s">
        <v>414</v>
      </c>
      <c r="I12" s="400" t="s">
        <v>419</v>
      </c>
      <c r="K12" s="400"/>
      <c r="L12" s="400" t="s">
        <v>415</v>
      </c>
      <c r="M12" s="400"/>
    </row>
    <row r="13" spans="3:18" ht="12.75">
      <c r="C13" s="400" t="s">
        <v>412</v>
      </c>
      <c r="D13" s="400" t="s">
        <v>413</v>
      </c>
      <c r="E13" s="400" t="s">
        <v>417</v>
      </c>
      <c r="F13" s="400" t="s">
        <v>412</v>
      </c>
      <c r="G13" s="400" t="s">
        <v>413</v>
      </c>
      <c r="I13" s="400" t="s">
        <v>412</v>
      </c>
      <c r="J13" s="400" t="s">
        <v>413</v>
      </c>
      <c r="K13" s="400" t="s">
        <v>42</v>
      </c>
      <c r="L13" s="400" t="s">
        <v>412</v>
      </c>
      <c r="M13" s="400" t="s">
        <v>413</v>
      </c>
      <c r="N13" s="400" t="s">
        <v>42</v>
      </c>
      <c r="O13" s="400" t="s">
        <v>418</v>
      </c>
      <c r="P13" s="400"/>
      <c r="Q13" s="406" t="s">
        <v>422</v>
      </c>
      <c r="R13" s="407" t="s">
        <v>421</v>
      </c>
    </row>
    <row r="14" spans="3:18" ht="12.75">
      <c r="C14" s="402">
        <v>5</v>
      </c>
      <c r="D14" s="402">
        <v>8</v>
      </c>
      <c r="F14" s="402">
        <v>10</v>
      </c>
      <c r="G14" s="402">
        <v>3</v>
      </c>
      <c r="I14" s="402">
        <v>25</v>
      </c>
      <c r="J14" s="402">
        <v>4</v>
      </c>
      <c r="K14" s="400"/>
      <c r="L14" s="509">
        <f>(C14*D14+F14*G14+I14*J14)/M14</f>
        <v>11.333333333333334</v>
      </c>
      <c r="M14" s="509">
        <f>D14+G14+J14</f>
        <v>15</v>
      </c>
      <c r="N14" s="405"/>
      <c r="O14" s="509">
        <f>L14*M14</f>
        <v>170</v>
      </c>
      <c r="R14" t="s">
        <v>420</v>
      </c>
    </row>
    <row r="15" ht="12.75">
      <c r="R15" t="s">
        <v>423</v>
      </c>
    </row>
    <row r="17" spans="1:15" ht="12.75">
      <c r="A17" s="400" t="s">
        <v>1</v>
      </c>
      <c r="C17" s="400" t="s">
        <v>428</v>
      </c>
      <c r="D17" s="400" t="s">
        <v>429</v>
      </c>
      <c r="E17" s="400" t="s">
        <v>417</v>
      </c>
      <c r="F17" s="400" t="s">
        <v>428</v>
      </c>
      <c r="G17" s="400" t="s">
        <v>430</v>
      </c>
      <c r="H17" s="400" t="s">
        <v>42</v>
      </c>
      <c r="I17" s="400" t="s">
        <v>431</v>
      </c>
      <c r="N17" s="406" t="s">
        <v>434</v>
      </c>
      <c r="O17" t="s">
        <v>432</v>
      </c>
    </row>
    <row r="18" spans="1:15" ht="12.75">
      <c r="A18" s="403">
        <v>50</v>
      </c>
      <c r="C18" s="401">
        <v>2</v>
      </c>
      <c r="D18" s="509">
        <f>90-A18</f>
        <v>40</v>
      </c>
      <c r="F18" s="401">
        <v>3</v>
      </c>
      <c r="G18" s="509">
        <f>180-A18</f>
        <v>130</v>
      </c>
      <c r="I18" s="509">
        <f>C18*D18+F18*G18</f>
        <v>470</v>
      </c>
      <c r="O18" t="s">
        <v>433</v>
      </c>
    </row>
    <row r="19" ht="13.5" thickBot="1">
      <c r="O19" t="s">
        <v>435</v>
      </c>
    </row>
    <row r="20" spans="2:14" ht="12.75">
      <c r="B20" s="248"/>
      <c r="C20" s="304"/>
      <c r="D20" s="304"/>
      <c r="E20" s="304"/>
      <c r="F20" s="304"/>
      <c r="G20" s="304"/>
      <c r="H20" s="304"/>
      <c r="I20" s="304"/>
      <c r="J20" s="304"/>
      <c r="K20" s="249"/>
      <c r="L20" s="249"/>
      <c r="M20" s="249"/>
      <c r="N20" s="250"/>
    </row>
    <row r="21" spans="2:21" ht="16.5" thickBot="1">
      <c r="B21" s="308"/>
      <c r="C21" s="270" t="s">
        <v>455</v>
      </c>
      <c r="D21" s="270"/>
      <c r="E21" s="270"/>
      <c r="F21" s="423" t="s">
        <v>456</v>
      </c>
      <c r="G21" s="270"/>
      <c r="H21" s="270"/>
      <c r="I21" s="423" t="s">
        <v>457</v>
      </c>
      <c r="J21" s="187"/>
      <c r="K21" s="270"/>
      <c r="L21" s="270"/>
      <c r="M21" s="270"/>
      <c r="N21" s="307"/>
      <c r="Q21" s="23" t="s">
        <v>327</v>
      </c>
      <c r="R21" s="23"/>
      <c r="S21" s="23"/>
      <c r="T21" s="23"/>
      <c r="U21" s="23"/>
    </row>
    <row r="22" spans="2:21" ht="15.75">
      <c r="B22" s="308"/>
      <c r="C22" s="424" t="s">
        <v>412</v>
      </c>
      <c r="D22" s="424" t="s">
        <v>413</v>
      </c>
      <c r="E22" s="424" t="s">
        <v>417</v>
      </c>
      <c r="F22" s="424" t="s">
        <v>412</v>
      </c>
      <c r="G22" s="424" t="s">
        <v>413</v>
      </c>
      <c r="H22" s="424"/>
      <c r="I22" s="424" t="s">
        <v>412</v>
      </c>
      <c r="J22" s="424" t="s">
        <v>413</v>
      </c>
      <c r="K22" s="424" t="s">
        <v>42</v>
      </c>
      <c r="L22" s="427" t="s">
        <v>460</v>
      </c>
      <c r="M22" s="424"/>
      <c r="N22" s="307"/>
      <c r="Q22" s="46" t="s">
        <v>70</v>
      </c>
      <c r="R22" s="47"/>
      <c r="S22" s="47"/>
      <c r="T22" s="47"/>
      <c r="U22" s="48"/>
    </row>
    <row r="23" spans="2:21" ht="15.75">
      <c r="B23" s="308"/>
      <c r="C23" s="409">
        <v>2</v>
      </c>
      <c r="D23" s="409">
        <v>5</v>
      </c>
      <c r="E23" s="423" t="s">
        <v>417</v>
      </c>
      <c r="F23" s="409">
        <v>6</v>
      </c>
      <c r="G23" s="409">
        <v>6</v>
      </c>
      <c r="H23" s="270"/>
      <c r="I23" s="510">
        <f>L23/J23</f>
        <v>4.181818181818182</v>
      </c>
      <c r="J23" s="510">
        <f>D23+G23</f>
        <v>11</v>
      </c>
      <c r="K23" s="270"/>
      <c r="L23" s="510">
        <f>C23*D23+F23*G23</f>
        <v>46</v>
      </c>
      <c r="M23" s="270"/>
      <c r="N23" s="307"/>
      <c r="Q23" s="61" t="s">
        <v>72</v>
      </c>
      <c r="R23" s="22"/>
      <c r="S23" s="22"/>
      <c r="T23" s="62" t="s">
        <v>34</v>
      </c>
      <c r="U23" s="63"/>
    </row>
    <row r="24" spans="2:21" ht="20.25">
      <c r="B24" s="308"/>
      <c r="C24" s="270"/>
      <c r="D24" s="270"/>
      <c r="E24" s="270"/>
      <c r="F24" s="270"/>
      <c r="G24" s="270"/>
      <c r="H24" s="270"/>
      <c r="I24" s="270"/>
      <c r="J24" s="288"/>
      <c r="K24" s="270"/>
      <c r="L24" s="270"/>
      <c r="M24" s="270"/>
      <c r="N24" s="307"/>
      <c r="Q24" s="61"/>
      <c r="R24" s="22"/>
      <c r="S24" s="22"/>
      <c r="T24" s="22"/>
      <c r="U24" s="64"/>
    </row>
    <row r="25" spans="2:21" ht="15.75">
      <c r="B25" s="308"/>
      <c r="C25" s="270" t="s">
        <v>455</v>
      </c>
      <c r="D25" s="270"/>
      <c r="E25" s="270"/>
      <c r="F25" s="423" t="s">
        <v>456</v>
      </c>
      <c r="G25" s="270"/>
      <c r="H25" s="270"/>
      <c r="I25" s="423" t="s">
        <v>457</v>
      </c>
      <c r="J25" s="187"/>
      <c r="K25" s="270"/>
      <c r="L25" s="270"/>
      <c r="M25" s="270"/>
      <c r="N25" s="307"/>
      <c r="Q25" s="61" t="s">
        <v>75</v>
      </c>
      <c r="R25" s="22" t="s">
        <v>76</v>
      </c>
      <c r="S25" s="22" t="s">
        <v>77</v>
      </c>
      <c r="T25" s="22"/>
      <c r="U25" s="64"/>
    </row>
    <row r="26" spans="2:21" ht="15.75">
      <c r="B26" s="308"/>
      <c r="C26" s="424" t="s">
        <v>412</v>
      </c>
      <c r="D26" s="424" t="s">
        <v>413</v>
      </c>
      <c r="E26" s="424" t="s">
        <v>417</v>
      </c>
      <c r="F26" s="424" t="s">
        <v>412</v>
      </c>
      <c r="G26" s="424" t="s">
        <v>413</v>
      </c>
      <c r="H26" s="424"/>
      <c r="I26" s="424" t="s">
        <v>412</v>
      </c>
      <c r="J26" s="424" t="s">
        <v>413</v>
      </c>
      <c r="K26" s="424" t="s">
        <v>42</v>
      </c>
      <c r="L26" s="427" t="s">
        <v>460</v>
      </c>
      <c r="M26" s="424"/>
      <c r="N26" s="307"/>
      <c r="Q26" s="61" t="s">
        <v>79</v>
      </c>
      <c r="R26" s="22" t="s">
        <v>80</v>
      </c>
      <c r="S26" s="22" t="s">
        <v>81</v>
      </c>
      <c r="T26" s="513" t="s">
        <v>82</v>
      </c>
      <c r="U26" s="513" t="s">
        <v>83</v>
      </c>
    </row>
    <row r="27" spans="2:21" ht="15.75">
      <c r="B27" s="308"/>
      <c r="C27" s="409">
        <v>2</v>
      </c>
      <c r="D27" s="409">
        <v>4</v>
      </c>
      <c r="E27" s="423" t="s">
        <v>417</v>
      </c>
      <c r="F27" s="409">
        <v>6</v>
      </c>
      <c r="G27" s="409">
        <v>3</v>
      </c>
      <c r="H27" s="270"/>
      <c r="I27" s="510">
        <f>L27/J27</f>
        <v>3.7142857142857144</v>
      </c>
      <c r="J27" s="510">
        <f>D27+G27</f>
        <v>7</v>
      </c>
      <c r="K27" s="270"/>
      <c r="L27" s="510">
        <f>C27*D27+F27*G27</f>
        <v>26</v>
      </c>
      <c r="M27" s="270"/>
      <c r="N27" s="307"/>
      <c r="Q27" s="511">
        <v>2</v>
      </c>
      <c r="R27" s="511">
        <v>3</v>
      </c>
      <c r="S27" s="512">
        <v>4</v>
      </c>
      <c r="T27" s="514">
        <f>(S27*R28-R27*S28)/(Q27*R28-R27*Q28)</f>
        <v>1.25</v>
      </c>
      <c r="U27" s="514">
        <f>(Q27*S28-S27*Q28)/(Q27*R28-R27*Q28)</f>
        <v>0.5</v>
      </c>
    </row>
    <row r="28" spans="2:21" ht="16.5" thickBot="1">
      <c r="B28" s="308"/>
      <c r="C28" s="424"/>
      <c r="D28" s="424"/>
      <c r="E28" s="424"/>
      <c r="F28" s="424"/>
      <c r="G28" s="424"/>
      <c r="H28" s="424"/>
      <c r="I28" s="424"/>
      <c r="J28" s="424"/>
      <c r="K28" s="270"/>
      <c r="L28" s="270"/>
      <c r="M28" s="270"/>
      <c r="N28" s="307"/>
      <c r="Q28" s="511">
        <v>4</v>
      </c>
      <c r="R28" s="511">
        <v>2</v>
      </c>
      <c r="S28" s="511">
        <v>6</v>
      </c>
      <c r="T28" s="28"/>
      <c r="U28" s="73"/>
    </row>
    <row r="29" spans="2:14" ht="13.5" thickBot="1">
      <c r="B29" s="308"/>
      <c r="C29" s="428" t="s">
        <v>461</v>
      </c>
      <c r="D29" s="424"/>
      <c r="E29" s="424"/>
      <c r="F29" s="424"/>
      <c r="G29" s="424"/>
      <c r="H29" s="424"/>
      <c r="I29" s="424"/>
      <c r="J29" s="424"/>
      <c r="K29" s="270"/>
      <c r="L29" s="426" t="s">
        <v>458</v>
      </c>
      <c r="M29" s="403"/>
      <c r="N29" s="307"/>
    </row>
    <row r="30" spans="2:21" ht="12.75">
      <c r="B30" s="308"/>
      <c r="C30" s="424"/>
      <c r="D30" s="424"/>
      <c r="E30" s="424"/>
      <c r="F30" s="424"/>
      <c r="G30" s="424"/>
      <c r="H30" s="424"/>
      <c r="I30" s="424"/>
      <c r="J30" s="424"/>
      <c r="K30" s="270"/>
      <c r="L30" s="426" t="s">
        <v>459</v>
      </c>
      <c r="M30" s="403"/>
      <c r="N30" s="307"/>
      <c r="P30" s="429" t="s">
        <v>462</v>
      </c>
      <c r="Q30" s="430"/>
      <c r="R30" s="430"/>
      <c r="S30" s="430"/>
      <c r="T30" s="430"/>
      <c r="U30" s="431" t="s">
        <v>465</v>
      </c>
    </row>
    <row r="31" spans="2:21" ht="12.75">
      <c r="B31" s="308"/>
      <c r="C31" s="424"/>
      <c r="D31" s="424"/>
      <c r="E31" s="424"/>
      <c r="F31" s="424"/>
      <c r="G31" s="424"/>
      <c r="H31" s="424"/>
      <c r="I31" s="424"/>
      <c r="J31" s="424"/>
      <c r="K31" s="270"/>
      <c r="L31" s="270"/>
      <c r="M31" s="270"/>
      <c r="N31" s="307"/>
      <c r="P31" s="432" t="s">
        <v>463</v>
      </c>
      <c r="Q31" s="433"/>
      <c r="R31" s="433"/>
      <c r="S31" s="433"/>
      <c r="T31" s="433"/>
      <c r="U31" s="434" t="s">
        <v>466</v>
      </c>
    </row>
    <row r="32" spans="2:21" ht="13.5" thickBot="1">
      <c r="B32" s="309"/>
      <c r="C32" s="425"/>
      <c r="D32" s="425"/>
      <c r="E32" s="425"/>
      <c r="F32" s="425"/>
      <c r="G32" s="425"/>
      <c r="H32" s="425"/>
      <c r="I32" s="425"/>
      <c r="J32" s="425"/>
      <c r="K32" s="252"/>
      <c r="L32" s="252"/>
      <c r="M32" s="252"/>
      <c r="N32" s="253"/>
      <c r="P32" s="435" t="s">
        <v>464</v>
      </c>
      <c r="Q32" s="436"/>
      <c r="R32" s="436"/>
      <c r="S32" s="436"/>
      <c r="T32" s="436"/>
      <c r="U32" s="4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D1:L13"/>
  <sheetViews>
    <sheetView zoomScalePageLayoutView="0" workbookViewId="0" topLeftCell="A1">
      <selection activeCell="G27" sqref="G27"/>
    </sheetView>
  </sheetViews>
  <sheetFormatPr defaultColWidth="9.140625" defaultRowHeight="12.75"/>
  <sheetData>
    <row r="1" spans="4:12" ht="20.25">
      <c r="D1" s="563" t="s">
        <v>494</v>
      </c>
      <c r="E1" s="564"/>
      <c r="F1" s="564"/>
      <c r="G1" s="564"/>
      <c r="H1" s="564"/>
      <c r="I1" s="564"/>
      <c r="J1" s="564"/>
      <c r="K1" s="565"/>
      <c r="L1" s="566"/>
    </row>
    <row r="3" spans="4:12" ht="12.75">
      <c r="D3" s="401" t="s">
        <v>343</v>
      </c>
      <c r="E3" s="401" t="s">
        <v>347</v>
      </c>
      <c r="G3" s="401" t="s">
        <v>344</v>
      </c>
      <c r="H3" s="401" t="s">
        <v>348</v>
      </c>
      <c r="J3" s="408" t="s">
        <v>436</v>
      </c>
      <c r="L3" s="408" t="s">
        <v>437</v>
      </c>
    </row>
    <row r="4" spans="4:12" ht="12.75">
      <c r="D4" s="402">
        <v>3</v>
      </c>
      <c r="E4" s="402">
        <v>0</v>
      </c>
      <c r="G4" s="402">
        <v>1</v>
      </c>
      <c r="H4" s="402">
        <v>1</v>
      </c>
      <c r="J4" s="515">
        <f>SQRT((D4-G4)^2+(E4-H4)^2)</f>
        <v>2.23606797749979</v>
      </c>
      <c r="L4" s="516">
        <f>J4*J4</f>
        <v>5.000000000000001</v>
      </c>
    </row>
    <row r="6" spans="4:12" ht="12.75">
      <c r="D6" s="401" t="s">
        <v>343</v>
      </c>
      <c r="E6" s="401" t="s">
        <v>347</v>
      </c>
      <c r="G6" s="401" t="s">
        <v>344</v>
      </c>
      <c r="H6" s="401" t="s">
        <v>348</v>
      </c>
      <c r="J6" s="408" t="s">
        <v>436</v>
      </c>
      <c r="L6" s="408" t="s">
        <v>437</v>
      </c>
    </row>
    <row r="7" spans="4:12" ht="12.75">
      <c r="D7" s="402">
        <v>4</v>
      </c>
      <c r="E7" s="402">
        <v>-2</v>
      </c>
      <c r="G7" s="402">
        <v>1</v>
      </c>
      <c r="H7" s="402">
        <v>1</v>
      </c>
      <c r="J7" s="515">
        <f>SQRT((D7-G7)^2+(E7-H7)^2)</f>
        <v>4.242640687119285</v>
      </c>
      <c r="L7" s="516">
        <f>J7*J7</f>
        <v>17.999999999999996</v>
      </c>
    </row>
    <row r="9" spans="4:12" ht="12.75">
      <c r="D9" s="401" t="s">
        <v>343</v>
      </c>
      <c r="E9" s="401" t="s">
        <v>347</v>
      </c>
      <c r="G9" s="401" t="s">
        <v>344</v>
      </c>
      <c r="H9" s="401" t="s">
        <v>348</v>
      </c>
      <c r="J9" s="408" t="s">
        <v>436</v>
      </c>
      <c r="L9" s="408" t="s">
        <v>437</v>
      </c>
    </row>
    <row r="10" spans="4:12" ht="12.75">
      <c r="D10" s="402">
        <v>4</v>
      </c>
      <c r="E10" s="402">
        <v>-2</v>
      </c>
      <c r="G10" s="402">
        <v>1</v>
      </c>
      <c r="H10" s="402">
        <v>3</v>
      </c>
      <c r="J10" s="515">
        <f>SQRT((D10-G10)^2+(E10-H10)^2)</f>
        <v>5.830951894845301</v>
      </c>
      <c r="L10" s="516">
        <f>J10*J10</f>
        <v>34</v>
      </c>
    </row>
    <row r="12" spans="4:12" ht="12.75">
      <c r="D12" s="401" t="s">
        <v>343</v>
      </c>
      <c r="E12" s="401" t="s">
        <v>347</v>
      </c>
      <c r="G12" s="401" t="s">
        <v>344</v>
      </c>
      <c r="H12" s="401" t="s">
        <v>348</v>
      </c>
      <c r="J12" s="408" t="s">
        <v>436</v>
      </c>
      <c r="L12" s="408" t="s">
        <v>437</v>
      </c>
    </row>
    <row r="13" spans="4:12" ht="12.75">
      <c r="D13" s="402">
        <v>2</v>
      </c>
      <c r="E13" s="402">
        <v>5</v>
      </c>
      <c r="G13" s="402">
        <v>4</v>
      </c>
      <c r="H13" s="402">
        <v>1</v>
      </c>
      <c r="J13" s="515">
        <f>SQRT((D13-G13)^2+(E13-H13)^2)</f>
        <v>4.47213595499958</v>
      </c>
      <c r="L13" s="516">
        <f>J13*J13</f>
        <v>20.000000000000004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4.7109375" style="0" customWidth="1"/>
    <col min="6" max="6" width="6.421875" style="23" customWidth="1"/>
    <col min="7" max="7" width="7.00390625" style="23" customWidth="1"/>
    <col min="8" max="8" width="8.8515625" style="23" customWidth="1"/>
    <col min="9" max="9" width="4.57421875" style="23" customWidth="1"/>
    <col min="10" max="10" width="5.7109375" style="23" customWidth="1"/>
    <col min="11" max="11" width="7.421875" style="23" customWidth="1"/>
    <col min="12" max="12" width="4.7109375" style="23" customWidth="1"/>
    <col min="13" max="13" width="4.00390625" style="23" customWidth="1"/>
  </cols>
  <sheetData>
    <row r="1" spans="3:12" ht="16.5" thickBot="1">
      <c r="C1" s="243" t="s">
        <v>284</v>
      </c>
      <c r="D1" s="230"/>
      <c r="E1" s="230"/>
      <c r="F1" s="231"/>
      <c r="G1" s="231"/>
      <c r="H1" s="231"/>
      <c r="I1" s="231"/>
      <c r="J1" s="231"/>
      <c r="K1" s="231"/>
      <c r="L1" s="232"/>
    </row>
    <row r="2" spans="6:13" ht="16.5" thickBot="1">
      <c r="F2" s="30" t="s">
        <v>197</v>
      </c>
      <c r="G2" s="30"/>
      <c r="H2" s="30"/>
      <c r="I2" s="30"/>
      <c r="J2" s="30"/>
      <c r="K2" s="30"/>
      <c r="L2" s="30"/>
      <c r="M2" s="30"/>
    </row>
    <row r="3" spans="1:13" ht="15.75">
      <c r="A3" s="39"/>
      <c r="B3" s="40" t="s">
        <v>10</v>
      </c>
      <c r="C3" s="40"/>
      <c r="D3" s="228"/>
      <c r="F3" s="82" t="s">
        <v>282</v>
      </c>
      <c r="G3" s="83"/>
      <c r="H3" s="100"/>
      <c r="I3" s="82"/>
      <c r="J3" s="83" t="s">
        <v>283</v>
      </c>
      <c r="K3" s="83"/>
      <c r="L3" s="83"/>
      <c r="M3" s="100"/>
    </row>
    <row r="4" spans="1:13" ht="16.5" thickBot="1">
      <c r="A4" s="42"/>
      <c r="B4" s="240" t="s">
        <v>9</v>
      </c>
      <c r="C4" s="240" t="s">
        <v>8</v>
      </c>
      <c r="D4" s="240" t="s">
        <v>10</v>
      </c>
      <c r="F4" s="72" t="s">
        <v>5</v>
      </c>
      <c r="G4" s="21" t="s">
        <v>174</v>
      </c>
      <c r="H4" s="112" t="s">
        <v>145</v>
      </c>
      <c r="I4" s="67"/>
      <c r="J4" s="27" t="s">
        <v>5</v>
      </c>
      <c r="K4" s="21" t="s">
        <v>174</v>
      </c>
      <c r="L4" s="27" t="s">
        <v>145</v>
      </c>
      <c r="M4" s="229"/>
    </row>
    <row r="5" spans="1:13" ht="15.75">
      <c r="A5" s="42"/>
      <c r="B5" s="241">
        <v>8</v>
      </c>
      <c r="C5" s="242">
        <f>B5*100/D5</f>
        <v>16</v>
      </c>
      <c r="D5" s="241">
        <v>50</v>
      </c>
      <c r="F5" s="67" t="s">
        <v>7</v>
      </c>
      <c r="G5" s="2"/>
      <c r="H5" s="63" t="s">
        <v>147</v>
      </c>
      <c r="I5" s="67"/>
      <c r="J5" s="2" t="s">
        <v>7</v>
      </c>
      <c r="K5" s="2"/>
      <c r="L5" s="2" t="s">
        <v>147</v>
      </c>
      <c r="M5" s="229"/>
    </row>
    <row r="6" spans="1:13" ht="15.75">
      <c r="A6" s="42"/>
      <c r="B6" s="242">
        <f>C6*D6/100</f>
        <v>0.36</v>
      </c>
      <c r="C6" s="241">
        <v>6</v>
      </c>
      <c r="D6" s="241">
        <v>6</v>
      </c>
      <c r="F6" s="67"/>
      <c r="G6" s="2"/>
      <c r="H6" s="63"/>
      <c r="I6" s="67"/>
      <c r="J6" s="2"/>
      <c r="K6" s="2"/>
      <c r="L6" s="2"/>
      <c r="M6" s="229"/>
    </row>
    <row r="7" spans="1:13" ht="16.5" thickBot="1">
      <c r="A7" s="42"/>
      <c r="B7" s="241">
        <v>6</v>
      </c>
      <c r="C7" s="241">
        <v>8</v>
      </c>
      <c r="D7" s="242">
        <f>100*B7/C7</f>
        <v>75</v>
      </c>
      <c r="F7" s="238">
        <v>2</v>
      </c>
      <c r="G7" s="29" t="s">
        <v>157</v>
      </c>
      <c r="H7" s="118">
        <v>9</v>
      </c>
      <c r="I7" s="67"/>
      <c r="J7" s="239">
        <v>1</v>
      </c>
      <c r="K7" s="21"/>
      <c r="L7" s="239">
        <v>2</v>
      </c>
      <c r="M7" s="229"/>
    </row>
    <row r="8" spans="1:13" ht="16.5" thickBot="1">
      <c r="A8" s="65"/>
      <c r="B8" s="66"/>
      <c r="C8" s="66"/>
      <c r="D8" s="71"/>
      <c r="F8" s="90">
        <v>2</v>
      </c>
      <c r="G8" s="2"/>
      <c r="H8" s="109">
        <v>4</v>
      </c>
      <c r="I8" s="67"/>
      <c r="J8" s="60">
        <v>2</v>
      </c>
      <c r="K8" s="29" t="s">
        <v>176</v>
      </c>
      <c r="L8" s="60">
        <v>4</v>
      </c>
      <c r="M8" s="229"/>
    </row>
    <row r="9" spans="6:13" ht="15.75">
      <c r="F9" s="233"/>
      <c r="G9" s="21"/>
      <c r="H9" s="229"/>
      <c r="I9" s="67"/>
      <c r="J9" s="21"/>
      <c r="K9" s="21"/>
      <c r="L9" s="21"/>
      <c r="M9" s="229"/>
    </row>
    <row r="10" spans="6:13" ht="15.75">
      <c r="F10" s="67"/>
      <c r="G10" s="2"/>
      <c r="H10" s="63"/>
      <c r="I10" s="67"/>
      <c r="J10" s="2"/>
      <c r="K10" s="2"/>
      <c r="L10" s="2"/>
      <c r="M10" s="229"/>
    </row>
    <row r="11" spans="6:13" ht="15.75">
      <c r="F11" s="234">
        <f>F7*H8</f>
        <v>8</v>
      </c>
      <c r="G11" s="21" t="s">
        <v>176</v>
      </c>
      <c r="H11" s="235">
        <f>H7*F8</f>
        <v>18</v>
      </c>
      <c r="I11" s="67"/>
      <c r="J11" s="31">
        <f>J7*L8</f>
        <v>4</v>
      </c>
      <c r="K11" s="21" t="s">
        <v>175</v>
      </c>
      <c r="L11" s="31">
        <f>L7*J8</f>
        <v>4</v>
      </c>
      <c r="M11" s="229" t="s">
        <v>1</v>
      </c>
    </row>
    <row r="12" spans="6:13" ht="15.75">
      <c r="F12" s="67"/>
      <c r="G12" s="2"/>
      <c r="H12" s="63"/>
      <c r="I12" s="67"/>
      <c r="J12" s="2"/>
      <c r="K12" s="2"/>
      <c r="L12" s="2"/>
      <c r="M12" s="229"/>
    </row>
    <row r="13" spans="6:13" ht="16.5" thickBot="1">
      <c r="F13" s="106" t="s">
        <v>165</v>
      </c>
      <c r="G13" s="107">
        <f>H11/F11</f>
        <v>2.25</v>
      </c>
      <c r="H13" s="236"/>
      <c r="I13" s="237"/>
      <c r="J13" s="116" t="s">
        <v>165</v>
      </c>
      <c r="K13" s="107">
        <f>J11/L11</f>
        <v>1</v>
      </c>
      <c r="L13" s="116"/>
      <c r="M13" s="112"/>
    </row>
    <row r="14" spans="7:9" ht="15.75">
      <c r="G14" s="21"/>
      <c r="H14" s="21"/>
      <c r="I14" s="21"/>
    </row>
    <row r="15" spans="5:14" ht="15.75">
      <c r="E15" s="187"/>
      <c r="F15" s="21"/>
      <c r="G15" s="21"/>
      <c r="H15" s="21"/>
      <c r="I15" s="21"/>
      <c r="J15" s="21"/>
      <c r="K15" s="21"/>
      <c r="L15" s="21"/>
      <c r="M15" s="55"/>
      <c r="N15" s="147"/>
    </row>
    <row r="16" spans="5:14" ht="15.75">
      <c r="E16" s="187"/>
      <c r="F16" s="21"/>
      <c r="G16" s="21"/>
      <c r="H16" s="21"/>
      <c r="I16" s="21"/>
      <c r="J16" s="21"/>
      <c r="K16" s="21"/>
      <c r="L16" s="21"/>
      <c r="M16" s="55"/>
      <c r="N16" s="147"/>
    </row>
    <row r="17" spans="5:14" ht="15.75">
      <c r="E17" s="187"/>
      <c r="F17" s="21"/>
      <c r="G17" s="21"/>
      <c r="H17" s="21"/>
      <c r="I17" s="21"/>
      <c r="J17" s="21"/>
      <c r="K17" s="21"/>
      <c r="L17" s="21"/>
      <c r="M17" s="55"/>
      <c r="N17" s="147"/>
    </row>
    <row r="18" spans="5:12" ht="15.75">
      <c r="E18" s="270"/>
      <c r="F18" s="138"/>
      <c r="G18" s="138"/>
      <c r="H18" s="138"/>
      <c r="I18" s="2"/>
      <c r="J18" s="2"/>
      <c r="K18" s="2"/>
      <c r="L18" s="2"/>
    </row>
    <row r="19" spans="5:12" ht="15.75">
      <c r="E19" s="270"/>
      <c r="F19" s="138"/>
      <c r="G19" s="138"/>
      <c r="H19" s="138"/>
      <c r="I19" s="2"/>
      <c r="J19" s="2"/>
      <c r="K19" s="2"/>
      <c r="L19" s="2"/>
    </row>
    <row r="20" spans="5:13" ht="15.75">
      <c r="E20" s="270"/>
      <c r="F20" s="138"/>
      <c r="G20" s="138"/>
      <c r="H20" s="138"/>
      <c r="I20" s="2"/>
      <c r="J20" s="2"/>
      <c r="K20" s="2"/>
      <c r="L20" s="2"/>
      <c r="M20" s="2"/>
    </row>
    <row r="21" spans="5:12" ht="15.75">
      <c r="E21" s="270"/>
      <c r="F21" s="138"/>
      <c r="G21" s="138"/>
      <c r="H21" s="138"/>
      <c r="I21" s="2"/>
      <c r="J21" s="2"/>
      <c r="K21" s="2"/>
      <c r="L21" s="2"/>
    </row>
    <row r="22" spans="5:12" ht="15.75">
      <c r="E22" s="270"/>
      <c r="F22" s="138"/>
      <c r="G22" s="138"/>
      <c r="H22" s="138"/>
      <c r="I22" s="2"/>
      <c r="J22" s="2"/>
      <c r="K22" s="2"/>
      <c r="L22" s="2"/>
    </row>
    <row r="23" spans="5:12" ht="15.75">
      <c r="E23" s="270"/>
      <c r="F23" s="138"/>
      <c r="G23" s="138"/>
      <c r="H23" s="138"/>
      <c r="I23" s="2"/>
      <c r="J23" s="2"/>
      <c r="K23" s="2"/>
      <c r="L23" s="2"/>
    </row>
    <row r="24" spans="5:12" ht="15.75">
      <c r="E24" s="270"/>
      <c r="F24" s="138"/>
      <c r="G24" s="138"/>
      <c r="H24" s="138"/>
      <c r="I24" s="2"/>
      <c r="J24" s="2"/>
      <c r="K24" s="2"/>
      <c r="L24" s="2"/>
    </row>
    <row r="25" spans="5:12" ht="15.75">
      <c r="E25" s="270"/>
      <c r="F25" s="138"/>
      <c r="G25" s="138"/>
      <c r="H25" s="138"/>
      <c r="I25" s="2"/>
      <c r="J25" s="2"/>
      <c r="K25" s="2"/>
      <c r="L25" s="2"/>
    </row>
    <row r="26" spans="5:12" ht="15.75">
      <c r="E26" s="270"/>
      <c r="F26" s="138"/>
      <c r="G26" s="138"/>
      <c r="H26" s="138"/>
      <c r="I26" s="2"/>
      <c r="J26" s="2"/>
      <c r="K26" s="2"/>
      <c r="L26" s="2"/>
    </row>
    <row r="27" spans="5:12" ht="15.75">
      <c r="E27" s="270"/>
      <c r="F27" s="138"/>
      <c r="G27" s="138"/>
      <c r="H27" s="138"/>
      <c r="I27" s="2"/>
      <c r="J27" s="2"/>
      <c r="K27" s="2"/>
      <c r="L27" s="2"/>
    </row>
    <row r="28" spans="5:12" ht="15.75">
      <c r="E28" s="270"/>
      <c r="F28" s="138"/>
      <c r="G28" s="138"/>
      <c r="H28" s="138"/>
      <c r="I28" s="2"/>
      <c r="J28" s="2"/>
      <c r="K28" s="2"/>
      <c r="L28" s="2"/>
    </row>
    <row r="29" spans="5:12" ht="15.75">
      <c r="E29" s="270"/>
      <c r="F29" s="138"/>
      <c r="G29" s="138"/>
      <c r="H29" s="138"/>
      <c r="I29" s="2"/>
      <c r="J29" s="2"/>
      <c r="K29" s="2"/>
      <c r="L29" s="2"/>
    </row>
    <row r="34" spans="6:13" ht="15.75">
      <c r="F34" s="21"/>
      <c r="G34" s="21"/>
      <c r="H34" s="21"/>
      <c r="I34" s="21"/>
      <c r="J34" s="21"/>
      <c r="K34" s="21"/>
      <c r="L34" s="21"/>
      <c r="M34" s="21"/>
    </row>
    <row r="35" spans="6:13" ht="15.75">
      <c r="F35" s="21"/>
      <c r="G35" s="21"/>
      <c r="H35" s="21"/>
      <c r="I35" s="21"/>
      <c r="J35" s="21"/>
      <c r="K35" s="21"/>
      <c r="L35" s="21"/>
      <c r="M35" s="21"/>
    </row>
    <row r="36" spans="6:13" ht="15.75">
      <c r="F36" s="21"/>
      <c r="G36" s="21"/>
      <c r="H36" s="21"/>
      <c r="I36" s="21"/>
      <c r="J36" s="21"/>
      <c r="K36" s="21"/>
      <c r="L36" s="21"/>
      <c r="M36" s="21"/>
    </row>
    <row r="37" spans="6:13" ht="15.75">
      <c r="F37" s="21"/>
      <c r="G37" s="21"/>
      <c r="H37" s="21"/>
      <c r="I37" s="21"/>
      <c r="J37" s="21"/>
      <c r="K37" s="21"/>
      <c r="L37" s="21"/>
      <c r="M37" s="21"/>
    </row>
    <row r="38" spans="6:13" ht="15.75">
      <c r="F38" s="21"/>
      <c r="G38" s="21"/>
      <c r="H38" s="21"/>
      <c r="I38" s="21"/>
      <c r="J38" s="21"/>
      <c r="K38" s="21"/>
      <c r="L38" s="21"/>
      <c r="M38" s="21"/>
    </row>
    <row r="39" spans="6:13" ht="15.75">
      <c r="F39" s="21"/>
      <c r="G39" s="21"/>
      <c r="H39" s="21"/>
      <c r="I39" s="21"/>
      <c r="J39" s="21"/>
      <c r="K39" s="21"/>
      <c r="L39" s="21"/>
      <c r="M39" s="21"/>
    </row>
    <row r="40" spans="6:13" ht="15.75">
      <c r="F40" s="21"/>
      <c r="G40" s="21"/>
      <c r="H40" s="21"/>
      <c r="I40" s="21"/>
      <c r="J40" s="21"/>
      <c r="K40" s="21"/>
      <c r="L40" s="21"/>
      <c r="M40" s="21"/>
    </row>
    <row r="41" spans="6:13" ht="15.75">
      <c r="F41" s="21"/>
      <c r="G41" s="21"/>
      <c r="H41" s="21"/>
      <c r="I41" s="21"/>
      <c r="J41" s="21"/>
      <c r="K41" s="21"/>
      <c r="L41" s="21"/>
      <c r="M41" s="21"/>
    </row>
    <row r="42" spans="6:13" ht="15.75">
      <c r="F42" s="21"/>
      <c r="G42" s="21"/>
      <c r="H42" s="21"/>
      <c r="I42" s="21"/>
      <c r="J42" s="21"/>
      <c r="K42" s="21"/>
      <c r="L42" s="21"/>
      <c r="M42" s="21"/>
    </row>
    <row r="43" spans="6:13" ht="15.75">
      <c r="F43" s="21"/>
      <c r="G43" s="21"/>
      <c r="H43" s="21"/>
      <c r="I43" s="21"/>
      <c r="J43" s="21"/>
      <c r="K43" s="21"/>
      <c r="L43" s="21"/>
      <c r="M43" s="21"/>
    </row>
    <row r="44" spans="6:13" ht="15.75">
      <c r="F44" s="21"/>
      <c r="G44" s="21"/>
      <c r="H44" s="21"/>
      <c r="I44" s="21"/>
      <c r="J44" s="21"/>
      <c r="K44" s="21"/>
      <c r="L44" s="21"/>
      <c r="M44" s="21"/>
    </row>
    <row r="45" spans="6:13" ht="15.75">
      <c r="F45" s="21"/>
      <c r="G45" s="21"/>
      <c r="H45" s="21"/>
      <c r="I45" s="21"/>
      <c r="J45" s="21"/>
      <c r="K45" s="21"/>
      <c r="L45" s="21"/>
      <c r="M45" s="21"/>
    </row>
    <row r="46" spans="6:13" ht="15.75">
      <c r="F46" s="21"/>
      <c r="G46" s="21"/>
      <c r="H46" s="21"/>
      <c r="I46" s="21"/>
      <c r="J46" s="21"/>
      <c r="K46" s="21"/>
      <c r="L46" s="21"/>
      <c r="M46" s="21"/>
    </row>
    <row r="47" spans="6:13" ht="15.75">
      <c r="F47" s="21"/>
      <c r="G47" s="21"/>
      <c r="H47" s="21"/>
      <c r="I47" s="21"/>
      <c r="J47" s="21"/>
      <c r="K47" s="21"/>
      <c r="L47" s="21"/>
      <c r="M47" s="21"/>
    </row>
    <row r="48" spans="6:13" ht="15.75">
      <c r="F48" s="21"/>
      <c r="G48" s="21"/>
      <c r="H48" s="21"/>
      <c r="I48" s="21"/>
      <c r="J48" s="21"/>
      <c r="K48" s="21"/>
      <c r="L48" s="21"/>
      <c r="M48" s="21"/>
    </row>
    <row r="49" spans="6:13" ht="15.75">
      <c r="F49" s="21"/>
      <c r="G49" s="21"/>
      <c r="H49" s="21"/>
      <c r="I49" s="21"/>
      <c r="J49" s="21"/>
      <c r="K49" s="21"/>
      <c r="L49" s="21"/>
      <c r="M49" s="21"/>
    </row>
    <row r="50" spans="6:13" ht="15.75">
      <c r="F50" s="21"/>
      <c r="G50" s="21"/>
      <c r="H50" s="21"/>
      <c r="I50" s="21"/>
      <c r="J50" s="21"/>
      <c r="K50" s="21"/>
      <c r="L50" s="21"/>
      <c r="M50" s="21"/>
    </row>
    <row r="51" spans="6:13" ht="15.75">
      <c r="F51" s="21"/>
      <c r="G51" s="21"/>
      <c r="H51" s="21"/>
      <c r="I51" s="21"/>
      <c r="J51" s="21"/>
      <c r="K51" s="21"/>
      <c r="L51" s="21"/>
      <c r="M51" s="21"/>
    </row>
    <row r="52" spans="6:13" ht="15.75">
      <c r="F52" s="21"/>
      <c r="G52" s="21"/>
      <c r="H52" s="21"/>
      <c r="I52" s="21"/>
      <c r="J52" s="21"/>
      <c r="K52" s="21"/>
      <c r="L52" s="21"/>
      <c r="M52" s="21"/>
    </row>
    <row r="53" spans="6:13" ht="15.75">
      <c r="F53" s="21"/>
      <c r="G53" s="21"/>
      <c r="H53" s="21"/>
      <c r="I53" s="21"/>
      <c r="J53" s="21"/>
      <c r="K53" s="21"/>
      <c r="L53" s="21"/>
      <c r="M53" s="21"/>
    </row>
    <row r="54" spans="6:13" ht="15.75">
      <c r="F54" s="21"/>
      <c r="G54" s="21"/>
      <c r="H54" s="21"/>
      <c r="I54" s="21"/>
      <c r="J54" s="21"/>
      <c r="K54" s="21"/>
      <c r="L54" s="21"/>
      <c r="M54" s="2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7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17.28125" style="149" customWidth="1"/>
    <col min="2" max="2" width="10.421875" style="149" bestFit="1" customWidth="1"/>
    <col min="3" max="3" width="10.7109375" style="149" bestFit="1" customWidth="1"/>
    <col min="4" max="4" width="11.00390625" style="149" customWidth="1"/>
    <col min="5" max="9" width="9.140625" style="149" customWidth="1"/>
    <col min="10" max="10" width="13.421875" style="149" customWidth="1"/>
    <col min="11" max="12" width="9.140625" style="149" customWidth="1"/>
    <col min="13" max="13" width="5.421875" style="149" customWidth="1"/>
    <col min="14" max="14" width="4.57421875" style="149" customWidth="1"/>
    <col min="15" max="16384" width="9.140625" style="149" customWidth="1"/>
  </cols>
  <sheetData>
    <row r="2" spans="2:10" ht="27.75">
      <c r="B2" s="354" t="s">
        <v>370</v>
      </c>
      <c r="C2" s="355"/>
      <c r="D2" s="355"/>
      <c r="E2" s="355"/>
      <c r="F2" s="355"/>
      <c r="G2" s="355"/>
      <c r="H2" s="355"/>
      <c r="I2" s="355"/>
      <c r="J2" s="355"/>
    </row>
    <row r="3" spans="2:4" ht="12.75">
      <c r="B3" s="356" t="s">
        <v>371</v>
      </c>
      <c r="C3" s="356"/>
      <c r="D3" s="356"/>
    </row>
    <row r="4" ht="28.5" customHeight="1"/>
    <row r="5" spans="9:14" ht="30">
      <c r="I5" s="357" t="s">
        <v>372</v>
      </c>
      <c r="K5" s="358" t="s">
        <v>373</v>
      </c>
      <c r="L5" s="357" t="s">
        <v>374</v>
      </c>
      <c r="M5" s="359" t="s">
        <v>375</v>
      </c>
      <c r="N5" s="360" t="s">
        <v>376</v>
      </c>
    </row>
    <row r="6" ht="12.75"/>
    <row r="7" spans="1:21" ht="21">
      <c r="A7" s="361"/>
      <c r="B7" s="362" t="s">
        <v>377</v>
      </c>
      <c r="C7" s="363" t="s">
        <v>378</v>
      </c>
      <c r="D7" s="364" t="s">
        <v>375</v>
      </c>
      <c r="E7" s="365" t="s">
        <v>379</v>
      </c>
      <c r="F7" s="366" t="s">
        <v>376</v>
      </c>
      <c r="J7" s="362" t="s">
        <v>377</v>
      </c>
      <c r="K7" s="363" t="s">
        <v>378</v>
      </c>
      <c r="L7" s="364" t="s">
        <v>375</v>
      </c>
      <c r="M7" s="366" t="s">
        <v>376</v>
      </c>
      <c r="N7" s="476" t="s">
        <v>473</v>
      </c>
      <c r="O7" s="476"/>
      <c r="P7" s="476"/>
      <c r="Q7" s="476"/>
      <c r="R7" s="476"/>
      <c r="S7" s="179"/>
      <c r="T7" s="179"/>
      <c r="U7" s="179"/>
    </row>
    <row r="8" spans="1:21" ht="20.25">
      <c r="A8" s="361" t="s">
        <v>380</v>
      </c>
      <c r="B8" s="362">
        <f>C8*(1+D8/E8)^(E8*F8)</f>
        <v>605.0000000000001</v>
      </c>
      <c r="C8" s="367">
        <v>500</v>
      </c>
      <c r="D8" s="367">
        <v>0.1</v>
      </c>
      <c r="E8" s="367">
        <v>1</v>
      </c>
      <c r="F8" s="367">
        <v>2</v>
      </c>
      <c r="H8" s="361" t="s">
        <v>380</v>
      </c>
      <c r="J8" s="362">
        <f>K8*EXP(L8*M8)</f>
        <v>2.323668485456566</v>
      </c>
      <c r="K8" s="367">
        <v>2</v>
      </c>
      <c r="L8" s="367">
        <v>0.05</v>
      </c>
      <c r="M8" s="367">
        <v>3</v>
      </c>
      <c r="N8" s="179"/>
      <c r="O8" s="476" t="s">
        <v>474</v>
      </c>
      <c r="P8" s="476"/>
      <c r="Q8" s="476"/>
      <c r="R8" s="476"/>
      <c r="S8" s="476"/>
      <c r="T8" s="476"/>
      <c r="U8" s="476"/>
    </row>
    <row r="9" spans="1:20" ht="21">
      <c r="A9" s="361" t="s">
        <v>381</v>
      </c>
      <c r="B9" s="367">
        <v>2.3215</v>
      </c>
      <c r="C9" s="363">
        <f>B9/(1+D9/E9)^E9^F9</f>
        <v>1.9999922158855648</v>
      </c>
      <c r="D9" s="367">
        <v>0.05</v>
      </c>
      <c r="E9" s="367">
        <v>4</v>
      </c>
      <c r="F9" s="367">
        <v>3</v>
      </c>
      <c r="H9" s="361" t="s">
        <v>381</v>
      </c>
      <c r="J9" s="367">
        <v>2.32367</v>
      </c>
      <c r="K9" s="363">
        <f>J9/EXP(L9*M9)</f>
        <v>2.000001303579614</v>
      </c>
      <c r="L9" s="367">
        <v>0.05</v>
      </c>
      <c r="M9" s="367">
        <v>3</v>
      </c>
      <c r="O9" s="476" t="s">
        <v>475</v>
      </c>
      <c r="P9" s="476"/>
      <c r="Q9" s="476"/>
      <c r="R9" s="476"/>
      <c r="S9" s="476"/>
      <c r="T9" s="476"/>
    </row>
    <row r="10" spans="1:13" ht="18">
      <c r="A10" s="361" t="s">
        <v>382</v>
      </c>
      <c r="B10" s="367">
        <v>2.3215</v>
      </c>
      <c r="C10" s="367">
        <v>2</v>
      </c>
      <c r="D10" s="364">
        <f>E10*((B10/C10)^(1/(E10*F10))-1)</f>
        <v>0.04999868642834571</v>
      </c>
      <c r="E10" s="367">
        <v>4</v>
      </c>
      <c r="F10" s="367">
        <v>3</v>
      </c>
      <c r="H10" s="361" t="s">
        <v>382</v>
      </c>
      <c r="J10" s="367">
        <v>2.32367</v>
      </c>
      <c r="K10" s="367">
        <v>2</v>
      </c>
      <c r="L10" s="364">
        <f>(LN(J10)-LN(K10))/M10</f>
        <v>0.05000021726319822</v>
      </c>
      <c r="M10" s="367">
        <v>3</v>
      </c>
    </row>
    <row r="11" spans="1:13" ht="18">
      <c r="A11" s="361" t="s">
        <v>383</v>
      </c>
      <c r="B11" s="367">
        <v>2.3215</v>
      </c>
      <c r="C11" s="367">
        <v>2</v>
      </c>
      <c r="D11" s="367">
        <v>0.05</v>
      </c>
      <c r="E11" s="367">
        <v>4</v>
      </c>
      <c r="F11" s="366">
        <f>(LOG(B11)-LOG(C11))/(LOG(1+D11/E11)*E11)</f>
        <v>2.999921673203349</v>
      </c>
      <c r="H11" s="361" t="s">
        <v>383</v>
      </c>
      <c r="J11" s="367">
        <v>2.32367</v>
      </c>
      <c r="K11" s="367">
        <v>2</v>
      </c>
      <c r="L11" s="367">
        <v>0.05</v>
      </c>
      <c r="M11" s="366">
        <f>(LN(J11)-LN(K11))/L11</f>
        <v>3.000013035791893</v>
      </c>
    </row>
    <row r="13" spans="1:8" ht="14.25">
      <c r="A13" s="149" t="s">
        <v>384</v>
      </c>
      <c r="H13" s="149" t="s">
        <v>385</v>
      </c>
    </row>
    <row r="14" spans="1:8" ht="14.25">
      <c r="A14" s="149" t="s">
        <v>386</v>
      </c>
      <c r="H14" s="149" t="s">
        <v>387</v>
      </c>
    </row>
    <row r="15" spans="1:8" ht="12.75">
      <c r="A15" s="149" t="s">
        <v>388</v>
      </c>
      <c r="H15" s="149" t="s">
        <v>389</v>
      </c>
    </row>
    <row r="16" spans="1:8" ht="12.75">
      <c r="A16" s="149" t="s">
        <v>390</v>
      </c>
      <c r="H16" s="149" t="s">
        <v>391</v>
      </c>
    </row>
    <row r="18" spans="7:11" ht="12.75">
      <c r="G18" s="368"/>
      <c r="K18" s="149">
        <f>(81-45)/81</f>
        <v>0.4444444444444444</v>
      </c>
    </row>
    <row r="19" ht="13.5" thickBot="1"/>
    <row r="20" spans="1:12" ht="28.5" customHeight="1">
      <c r="A20" s="369"/>
      <c r="B20" s="370" t="s">
        <v>394</v>
      </c>
      <c r="C20" s="371"/>
      <c r="D20" s="372" t="s">
        <v>377</v>
      </c>
      <c r="E20" s="373" t="s">
        <v>395</v>
      </c>
      <c r="F20" s="374" t="s">
        <v>396</v>
      </c>
      <c r="G20" s="371"/>
      <c r="H20" s="375" t="s">
        <v>400</v>
      </c>
      <c r="I20" s="376"/>
      <c r="J20" s="376"/>
      <c r="K20" s="376"/>
      <c r="L20" s="377"/>
    </row>
    <row r="21" spans="1:12" ht="20.25">
      <c r="A21" s="378"/>
      <c r="B21" s="379"/>
      <c r="C21" s="379"/>
      <c r="D21" s="379"/>
      <c r="E21" s="379"/>
      <c r="F21" s="379"/>
      <c r="G21" s="379"/>
      <c r="H21" s="380" t="s">
        <v>401</v>
      </c>
      <c r="I21" s="381"/>
      <c r="J21" s="381"/>
      <c r="K21" s="381"/>
      <c r="L21" s="382"/>
    </row>
    <row r="22" spans="1:12" ht="21">
      <c r="A22" s="378"/>
      <c r="B22" s="379"/>
      <c r="C22" s="362" t="s">
        <v>377</v>
      </c>
      <c r="D22" s="363" t="s">
        <v>378</v>
      </c>
      <c r="E22" s="364" t="s">
        <v>375</v>
      </c>
      <c r="F22" s="366" t="s">
        <v>376</v>
      </c>
      <c r="G22" s="379"/>
      <c r="H22" s="379"/>
      <c r="I22" s="379"/>
      <c r="J22" s="379"/>
      <c r="K22" s="379"/>
      <c r="L22" s="383"/>
    </row>
    <row r="23" spans="1:12" ht="18">
      <c r="A23" s="384" t="s">
        <v>397</v>
      </c>
      <c r="B23" s="379"/>
      <c r="C23" s="362">
        <f>D23*E23*F23</f>
        <v>24</v>
      </c>
      <c r="D23" s="367">
        <v>2</v>
      </c>
      <c r="E23" s="367">
        <v>4</v>
      </c>
      <c r="F23" s="367">
        <v>3</v>
      </c>
      <c r="G23" s="379"/>
      <c r="H23" s="379"/>
      <c r="I23" s="379"/>
      <c r="J23" s="379"/>
      <c r="K23" s="379"/>
      <c r="L23" s="383"/>
    </row>
    <row r="24" spans="1:12" ht="18">
      <c r="A24" s="384" t="s">
        <v>380</v>
      </c>
      <c r="B24" s="379"/>
      <c r="C24" s="367">
        <v>24</v>
      </c>
      <c r="D24" s="363">
        <f>C24/E24/F24</f>
        <v>2</v>
      </c>
      <c r="E24" s="367">
        <v>4</v>
      </c>
      <c r="F24" s="367">
        <v>3</v>
      </c>
      <c r="G24" s="379"/>
      <c r="H24" s="379"/>
      <c r="I24" s="379"/>
      <c r="J24" s="379"/>
      <c r="K24" s="379"/>
      <c r="L24" s="383"/>
    </row>
    <row r="25" spans="1:12" ht="18">
      <c r="A25" s="384" t="s">
        <v>398</v>
      </c>
      <c r="B25" s="379"/>
      <c r="C25" s="367">
        <v>24</v>
      </c>
      <c r="D25" s="367">
        <v>2</v>
      </c>
      <c r="E25" s="364">
        <f>C25/D25/F25</f>
        <v>4</v>
      </c>
      <c r="F25" s="367">
        <v>3</v>
      </c>
      <c r="G25" s="379"/>
      <c r="H25" s="379"/>
      <c r="I25" s="379"/>
      <c r="J25" s="379"/>
      <c r="K25" s="379"/>
      <c r="L25" s="383"/>
    </row>
    <row r="26" spans="1:12" ht="18">
      <c r="A26" s="384" t="s">
        <v>399</v>
      </c>
      <c r="B26" s="379"/>
      <c r="C26" s="367">
        <v>24</v>
      </c>
      <c r="D26" s="367">
        <v>2</v>
      </c>
      <c r="E26" s="367">
        <v>4</v>
      </c>
      <c r="F26" s="366">
        <f>C26/D26/E26</f>
        <v>3</v>
      </c>
      <c r="G26" s="379"/>
      <c r="H26" s="379"/>
      <c r="I26" s="379"/>
      <c r="J26" s="379"/>
      <c r="K26" s="379"/>
      <c r="L26" s="383"/>
    </row>
    <row r="27" spans="1:12" ht="13.5" thickBot="1">
      <c r="A27" s="385"/>
      <c r="B27" s="386"/>
      <c r="C27" s="386"/>
      <c r="D27" s="386"/>
      <c r="E27" s="386"/>
      <c r="F27" s="386"/>
      <c r="G27" s="386"/>
      <c r="H27" s="386"/>
      <c r="I27" s="386"/>
      <c r="J27" s="386"/>
      <c r="K27" s="386"/>
      <c r="L27" s="38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2.57421875" style="0" customWidth="1"/>
    <col min="2" max="2" width="5.00390625" style="0" customWidth="1"/>
    <col min="3" max="3" width="4.00390625" style="0" customWidth="1"/>
    <col min="4" max="4" width="5.421875" style="0" customWidth="1"/>
    <col min="5" max="5" width="4.7109375" style="0" customWidth="1"/>
    <col min="6" max="6" width="6.00390625" style="0" customWidth="1"/>
    <col min="7" max="7" width="5.7109375" style="0" customWidth="1"/>
    <col min="8" max="8" width="4.00390625" style="0" customWidth="1"/>
  </cols>
  <sheetData>
    <row r="1" spans="2:10" ht="15.75">
      <c r="B1" s="2" t="s">
        <v>36</v>
      </c>
      <c r="C1" s="2"/>
      <c r="D1" s="2"/>
      <c r="E1" s="2"/>
      <c r="F1" s="2"/>
      <c r="G1" s="2"/>
      <c r="H1" s="2"/>
      <c r="I1" s="2"/>
      <c r="J1" s="2"/>
    </row>
    <row r="2" spans="1:10" ht="15.75">
      <c r="A2" s="322"/>
      <c r="B2" s="119" t="s">
        <v>325</v>
      </c>
      <c r="C2" s="120"/>
      <c r="D2" s="119"/>
      <c r="E2" s="36"/>
      <c r="F2" s="36"/>
      <c r="G2" s="121"/>
      <c r="H2" s="119"/>
      <c r="I2" s="36"/>
      <c r="J2" s="51"/>
    </row>
    <row r="3" spans="1:17" ht="16.5" thickBot="1">
      <c r="A3" s="322"/>
      <c r="B3" s="34"/>
      <c r="C3" s="34"/>
      <c r="D3" s="34"/>
      <c r="E3" s="34"/>
      <c r="F3" s="34"/>
      <c r="G3" s="34"/>
      <c r="H3" s="34"/>
      <c r="I3" s="55"/>
      <c r="J3" s="55"/>
      <c r="K3" s="34"/>
      <c r="L3" s="34"/>
      <c r="M3" s="34"/>
      <c r="N3" s="34"/>
      <c r="O3" s="34"/>
      <c r="P3" s="34"/>
      <c r="Q3" s="34"/>
    </row>
    <row r="4" spans="1:17" ht="15.75">
      <c r="A4" s="322"/>
      <c r="B4" s="519">
        <f ca="1">INT(20-40*RAND())</f>
        <v>16</v>
      </c>
      <c r="C4" s="95" t="s">
        <v>41</v>
      </c>
      <c r="D4" s="521">
        <f ca="1">INT(20-40*RAND())</f>
        <v>11</v>
      </c>
      <c r="E4" s="83" t="s">
        <v>42</v>
      </c>
      <c r="F4" s="517">
        <f>B4+D4</f>
        <v>27</v>
      </c>
      <c r="G4" s="120"/>
      <c r="H4" s="36"/>
      <c r="I4" s="21"/>
      <c r="J4" s="21"/>
      <c r="K4" s="519">
        <f ca="1">INT(20-40*RAND())</f>
        <v>-3</v>
      </c>
      <c r="L4" s="95" t="s">
        <v>41</v>
      </c>
      <c r="M4" s="521">
        <f ca="1">INT(20-40*RAND())</f>
        <v>8</v>
      </c>
      <c r="N4" s="83" t="s">
        <v>42</v>
      </c>
      <c r="O4" s="517">
        <f>K4+M4</f>
        <v>5</v>
      </c>
      <c r="P4" s="120"/>
      <c r="Q4" s="36"/>
    </row>
    <row r="5" spans="1:17" ht="16.5" thickBot="1">
      <c r="A5" s="322"/>
      <c r="B5" s="520">
        <f ca="1">INT(20-40*RAND())</f>
        <v>-13</v>
      </c>
      <c r="C5" s="86" t="s">
        <v>41</v>
      </c>
      <c r="D5" s="522">
        <f ca="1">INT(20-40*RAND())</f>
        <v>-9</v>
      </c>
      <c r="E5" s="27" t="s">
        <v>42</v>
      </c>
      <c r="F5" s="518">
        <f>B5+D5</f>
        <v>-22</v>
      </c>
      <c r="G5" s="120"/>
      <c r="H5" s="36"/>
      <c r="I5" s="21"/>
      <c r="J5" s="21"/>
      <c r="K5" s="520">
        <f ca="1">INT(20-40*RAND())</f>
        <v>-3</v>
      </c>
      <c r="L5" s="86" t="s">
        <v>41</v>
      </c>
      <c r="M5" s="522">
        <f ca="1">INT(20-40*RAND())</f>
        <v>-6</v>
      </c>
      <c r="N5" s="27" t="s">
        <v>42</v>
      </c>
      <c r="O5" s="518">
        <f>K5+M5</f>
        <v>-9</v>
      </c>
      <c r="P5" s="120"/>
      <c r="Q5" s="36"/>
    </row>
    <row r="6" spans="1:17" ht="16.5" thickBot="1">
      <c r="A6" s="322"/>
      <c r="B6" s="34"/>
      <c r="C6" s="34"/>
      <c r="D6" s="34"/>
      <c r="E6" s="34"/>
      <c r="F6" s="34"/>
      <c r="G6" s="36"/>
      <c r="H6" s="36"/>
      <c r="I6" s="21"/>
      <c r="J6" s="21"/>
      <c r="K6" s="34"/>
      <c r="L6" s="34"/>
      <c r="M6" s="34"/>
      <c r="N6" s="34"/>
      <c r="O6" s="34"/>
      <c r="P6" s="36"/>
      <c r="Q6" s="36"/>
    </row>
    <row r="7" spans="1:17" ht="15.75">
      <c r="A7" s="322"/>
      <c r="B7" s="519">
        <f ca="1">INT(20-40*RAND())</f>
        <v>10</v>
      </c>
      <c r="C7" s="95" t="s">
        <v>43</v>
      </c>
      <c r="D7" s="521">
        <f ca="1">INT(20-40*RAND())</f>
        <v>-16</v>
      </c>
      <c r="E7" s="83" t="s">
        <v>42</v>
      </c>
      <c r="F7" s="517">
        <f>B7-D7</f>
        <v>26</v>
      </c>
      <c r="G7" s="36"/>
      <c r="H7" s="36"/>
      <c r="I7" s="21"/>
      <c r="J7" s="21"/>
      <c r="K7" s="519">
        <f ca="1">INT(20-40*RAND())</f>
        <v>18</v>
      </c>
      <c r="L7" s="95" t="s">
        <v>43</v>
      </c>
      <c r="M7" s="521">
        <f ca="1">INT(20-40*RAND())</f>
        <v>-14</v>
      </c>
      <c r="N7" s="83" t="s">
        <v>42</v>
      </c>
      <c r="O7" s="517">
        <f>K7-M7</f>
        <v>32</v>
      </c>
      <c r="P7" s="36"/>
      <c r="Q7" s="36"/>
    </row>
    <row r="8" spans="1:17" ht="16.5" thickBot="1">
      <c r="A8" s="322"/>
      <c r="B8" s="520">
        <f ca="1">INT(20-40*RAND())</f>
        <v>-10</v>
      </c>
      <c r="C8" s="86" t="s">
        <v>43</v>
      </c>
      <c r="D8" s="522">
        <f ca="1">INT(20-40*RAND())</f>
        <v>-20</v>
      </c>
      <c r="E8" s="27" t="s">
        <v>42</v>
      </c>
      <c r="F8" s="518">
        <f>B8-D8</f>
        <v>10</v>
      </c>
      <c r="G8" s="36"/>
      <c r="H8" s="36"/>
      <c r="I8" s="21"/>
      <c r="J8" s="21"/>
      <c r="K8" s="520">
        <f ca="1">INT(20-40*RAND())</f>
        <v>12</v>
      </c>
      <c r="L8" s="86" t="s">
        <v>43</v>
      </c>
      <c r="M8" s="522">
        <f ca="1">INT(20-40*RAND())</f>
        <v>-9</v>
      </c>
      <c r="N8" s="27" t="s">
        <v>42</v>
      </c>
      <c r="O8" s="518">
        <f>K8-M8</f>
        <v>21</v>
      </c>
      <c r="P8" s="36"/>
      <c r="Q8" s="36"/>
    </row>
    <row r="9" spans="1:17" ht="16.5" thickBot="1">
      <c r="A9" s="322"/>
      <c r="B9" s="34"/>
      <c r="C9" s="34"/>
      <c r="D9" s="34"/>
      <c r="E9" s="34"/>
      <c r="F9" s="34"/>
      <c r="G9" s="36"/>
      <c r="H9" s="36"/>
      <c r="I9" s="21"/>
      <c r="J9" s="21"/>
      <c r="K9" s="34"/>
      <c r="L9" s="34"/>
      <c r="M9" s="34"/>
      <c r="N9" s="34"/>
      <c r="O9" s="34"/>
      <c r="P9" s="36"/>
      <c r="Q9" s="36"/>
    </row>
    <row r="10" spans="1:17" ht="15.75">
      <c r="A10" s="322"/>
      <c r="B10" s="320" t="s">
        <v>44</v>
      </c>
      <c r="C10" s="521">
        <f ca="1">INT(12-24*RAND())</f>
        <v>-12</v>
      </c>
      <c r="D10" s="95" t="s">
        <v>45</v>
      </c>
      <c r="E10" s="521">
        <f ca="1">INT(12-24*RAND())</f>
        <v>-9</v>
      </c>
      <c r="F10" s="113" t="s">
        <v>195</v>
      </c>
      <c r="G10" s="517">
        <f>C10*E10</f>
        <v>108</v>
      </c>
      <c r="H10" s="34"/>
      <c r="I10" s="55"/>
      <c r="J10" s="55"/>
      <c r="K10" s="320" t="s">
        <v>44</v>
      </c>
      <c r="L10" s="521">
        <f ca="1">INT(12-24*RAND())</f>
        <v>-6</v>
      </c>
      <c r="M10" s="95" t="s">
        <v>45</v>
      </c>
      <c r="N10" s="521">
        <f ca="1">INT(12-24*RAND())</f>
        <v>11</v>
      </c>
      <c r="O10" s="113" t="s">
        <v>195</v>
      </c>
      <c r="P10" s="517">
        <f>L10*N10</f>
        <v>-66</v>
      </c>
      <c r="Q10" s="34"/>
    </row>
    <row r="11" spans="1:17" ht="16.5" thickBot="1">
      <c r="A11" s="322"/>
      <c r="B11" s="321" t="s">
        <v>44</v>
      </c>
      <c r="C11" s="522">
        <f ca="1">INT(12-24*RAND())</f>
        <v>3</v>
      </c>
      <c r="D11" s="86" t="s">
        <v>45</v>
      </c>
      <c r="E11" s="522">
        <f ca="1">INT(12-24*RAND())</f>
        <v>-9</v>
      </c>
      <c r="F11" s="116" t="s">
        <v>195</v>
      </c>
      <c r="G11" s="518">
        <f>C11*E11</f>
        <v>-27</v>
      </c>
      <c r="H11" s="34"/>
      <c r="I11" s="55"/>
      <c r="J11" s="55"/>
      <c r="K11" s="321" t="s">
        <v>44</v>
      </c>
      <c r="L11" s="522">
        <f ca="1">INT(12-24*RAND())</f>
        <v>2</v>
      </c>
      <c r="M11" s="86" t="s">
        <v>45</v>
      </c>
      <c r="N11" s="522">
        <f ca="1">INT(12-24*RAND())</f>
        <v>1</v>
      </c>
      <c r="O11" s="116" t="s">
        <v>195</v>
      </c>
      <c r="P11" s="518">
        <f>L11*N11</f>
        <v>2</v>
      </c>
      <c r="Q11" s="34"/>
    </row>
    <row r="12" spans="1:17" ht="13.5" thickBot="1">
      <c r="A12" s="322"/>
      <c r="B12" s="322"/>
      <c r="C12" s="322"/>
      <c r="D12" s="322"/>
      <c r="E12" s="322"/>
      <c r="F12" s="322"/>
      <c r="G12" s="322"/>
      <c r="H12" s="322"/>
      <c r="I12" s="147"/>
      <c r="J12" s="147"/>
      <c r="K12" s="322"/>
      <c r="L12" s="322"/>
      <c r="M12" s="322"/>
      <c r="N12" s="322"/>
      <c r="O12" s="322"/>
      <c r="P12" s="322"/>
      <c r="Q12" s="322"/>
    </row>
    <row r="13" spans="1:17" ht="15.75">
      <c r="A13" s="322"/>
      <c r="B13" s="320" t="s">
        <v>44</v>
      </c>
      <c r="C13" s="521">
        <f ca="1">INT(12-24*RAND())</f>
        <v>8</v>
      </c>
      <c r="D13" s="95" t="s">
        <v>196</v>
      </c>
      <c r="E13" s="521">
        <f ca="1">INT(12-24*RAND())</f>
        <v>-8</v>
      </c>
      <c r="F13" s="113" t="s">
        <v>195</v>
      </c>
      <c r="G13" s="517">
        <f>C13/E13</f>
        <v>-1</v>
      </c>
      <c r="H13" s="322"/>
      <c r="I13" s="147"/>
      <c r="J13" s="147"/>
      <c r="K13" s="320" t="s">
        <v>44</v>
      </c>
      <c r="L13" s="521">
        <f ca="1">INT(12-24*RAND())</f>
        <v>-6</v>
      </c>
      <c r="M13" s="95" t="s">
        <v>196</v>
      </c>
      <c r="N13" s="521">
        <f ca="1">INT(12-24*RAND())</f>
        <v>-4</v>
      </c>
      <c r="O13" s="113" t="s">
        <v>195</v>
      </c>
      <c r="P13" s="517">
        <f>L13/N13</f>
        <v>1.5</v>
      </c>
      <c r="Q13" s="322"/>
    </row>
    <row r="14" spans="1:17" ht="16.5" thickBot="1">
      <c r="A14" s="322"/>
      <c r="B14" s="321" t="s">
        <v>44</v>
      </c>
      <c r="C14" s="522">
        <f ca="1">INT(12-24*RAND())</f>
        <v>9</v>
      </c>
      <c r="D14" s="86" t="s">
        <v>196</v>
      </c>
      <c r="E14" s="522">
        <f ca="1">INT(12-24*RAND())</f>
        <v>4</v>
      </c>
      <c r="F14" s="116" t="s">
        <v>195</v>
      </c>
      <c r="G14" s="518">
        <f>C14/E14</f>
        <v>2.25</v>
      </c>
      <c r="H14" s="322"/>
      <c r="I14" s="147"/>
      <c r="J14" s="147"/>
      <c r="K14" s="321" t="s">
        <v>44</v>
      </c>
      <c r="L14" s="522">
        <f ca="1">INT(12-24*RAND())</f>
        <v>-7</v>
      </c>
      <c r="M14" s="86" t="s">
        <v>196</v>
      </c>
      <c r="N14" s="522">
        <f ca="1">INT(12-24*RAND())</f>
        <v>-6</v>
      </c>
      <c r="O14" s="116" t="s">
        <v>195</v>
      </c>
      <c r="P14" s="518">
        <f>L14/N14</f>
        <v>1.1666666666666667</v>
      </c>
      <c r="Q14" s="322"/>
    </row>
    <row r="15" spans="1:17" ht="12.75">
      <c r="A15" s="322"/>
      <c r="B15" s="322"/>
      <c r="C15" s="322"/>
      <c r="D15" s="322"/>
      <c r="E15" s="322"/>
      <c r="F15" s="322"/>
      <c r="G15" s="322"/>
      <c r="H15" s="322"/>
      <c r="K15" s="322"/>
      <c r="L15" s="322"/>
      <c r="M15" s="322"/>
      <c r="N15" s="322"/>
      <c r="O15" s="322"/>
      <c r="P15" s="322"/>
      <c r="Q15" s="322"/>
    </row>
    <row r="17" spans="1:12" ht="20.25">
      <c r="A17" s="525"/>
      <c r="B17" s="525" t="s">
        <v>480</v>
      </c>
      <c r="C17" s="525"/>
      <c r="D17" s="525"/>
      <c r="E17" s="525"/>
      <c r="F17" s="525"/>
      <c r="G17" s="525"/>
      <c r="H17" s="525"/>
      <c r="I17" s="525"/>
      <c r="J17" s="524"/>
      <c r="K17" s="524"/>
      <c r="L17" s="524"/>
    </row>
    <row r="18" spans="1:12" ht="20.25">
      <c r="A18" s="525"/>
      <c r="B18" s="525" t="s">
        <v>481</v>
      </c>
      <c r="C18" s="525"/>
      <c r="D18" s="448"/>
      <c r="E18" s="448"/>
      <c r="F18" s="448"/>
      <c r="G18" s="525"/>
      <c r="H18" s="525"/>
      <c r="I18" s="525"/>
      <c r="J18" s="524"/>
      <c r="K18" s="524"/>
      <c r="L18" s="524"/>
    </row>
    <row r="19" spans="1:12" ht="20.25">
      <c r="A19" s="525"/>
      <c r="B19" s="525" t="s">
        <v>482</v>
      </c>
      <c r="C19" s="525"/>
      <c r="D19" s="448"/>
      <c r="E19" s="448"/>
      <c r="F19" s="448"/>
      <c r="G19" s="525"/>
      <c r="H19" s="525"/>
      <c r="I19" s="525"/>
      <c r="J19" s="524"/>
      <c r="K19" s="524"/>
      <c r="L19" s="524"/>
    </row>
    <row r="20" spans="1:12" ht="20.25">
      <c r="A20" s="525"/>
      <c r="B20" s="525" t="s">
        <v>483</v>
      </c>
      <c r="C20" s="525"/>
      <c r="D20" s="448"/>
      <c r="E20" s="448"/>
      <c r="F20" s="448"/>
      <c r="G20" s="525"/>
      <c r="H20" s="525"/>
      <c r="I20" s="525"/>
      <c r="J20" s="524"/>
      <c r="K20" s="524"/>
      <c r="L20" s="524"/>
    </row>
    <row r="21" spans="1:12" ht="20.25">
      <c r="A21" s="525"/>
      <c r="B21" s="525"/>
      <c r="C21" s="525" t="s">
        <v>485</v>
      </c>
      <c r="D21" s="448"/>
      <c r="E21" s="448"/>
      <c r="F21" s="448"/>
      <c r="G21" s="525"/>
      <c r="H21" s="525"/>
      <c r="I21" s="525"/>
      <c r="J21" s="524"/>
      <c r="K21" s="524"/>
      <c r="L21" s="524"/>
    </row>
    <row r="22" spans="1:12" ht="20.25">
      <c r="A22" s="525"/>
      <c r="B22" s="525" t="s">
        <v>486</v>
      </c>
      <c r="C22" s="525"/>
      <c r="D22" s="525"/>
      <c r="E22" s="525"/>
      <c r="F22" s="525"/>
      <c r="G22" s="525"/>
      <c r="H22" s="525"/>
      <c r="I22" s="525"/>
      <c r="J22" s="524"/>
      <c r="K22" s="524"/>
      <c r="L22" s="524"/>
    </row>
    <row r="23" spans="1:12" ht="20.25">
      <c r="A23" s="525"/>
      <c r="B23" s="525"/>
      <c r="C23" s="525" t="s">
        <v>487</v>
      </c>
      <c r="D23" s="525"/>
      <c r="E23" s="525"/>
      <c r="F23" s="525"/>
      <c r="G23" s="525"/>
      <c r="H23" s="525"/>
      <c r="I23" s="525"/>
      <c r="J23" s="524"/>
      <c r="K23" s="524"/>
      <c r="L23" s="524"/>
    </row>
    <row r="24" spans="1:12" ht="20.25">
      <c r="A24" s="525"/>
      <c r="B24" s="525"/>
      <c r="C24" s="525"/>
      <c r="D24" s="525"/>
      <c r="E24" s="525"/>
      <c r="F24" s="525"/>
      <c r="G24" s="525"/>
      <c r="H24" s="525"/>
      <c r="I24" s="525"/>
      <c r="J24" s="524"/>
      <c r="K24" s="524"/>
      <c r="L24" s="524"/>
    </row>
    <row r="25" spans="1:10" ht="20.25">
      <c r="A25" s="526"/>
      <c r="B25" s="526"/>
      <c r="C25" s="526"/>
      <c r="D25" s="526"/>
      <c r="E25" s="526"/>
      <c r="F25" s="526"/>
      <c r="G25" s="526"/>
      <c r="H25" s="526"/>
      <c r="I25" s="526"/>
      <c r="J25" s="147"/>
    </row>
    <row r="26" spans="1:10" ht="20.25">
      <c r="A26" s="526"/>
      <c r="B26" s="526"/>
      <c r="C26" s="526"/>
      <c r="D26" s="526"/>
      <c r="E26" s="526"/>
      <c r="F26" s="526"/>
      <c r="G26" s="526"/>
      <c r="H26" s="526"/>
      <c r="I26" s="526"/>
      <c r="J26" s="147"/>
    </row>
    <row r="27" spans="1:10" ht="12.75">
      <c r="A27" s="147"/>
      <c r="B27" s="147"/>
      <c r="C27" s="147"/>
      <c r="D27" s="147"/>
      <c r="E27" s="147"/>
      <c r="F27" s="147"/>
      <c r="G27" s="147"/>
      <c r="H27" s="147"/>
      <c r="I27" s="147"/>
      <c r="J27" s="147"/>
    </row>
    <row r="28" spans="1:10" ht="12.75">
      <c r="A28" s="147"/>
      <c r="B28" s="147"/>
      <c r="C28" s="147"/>
      <c r="D28" s="147"/>
      <c r="E28" s="147"/>
      <c r="F28" s="147"/>
      <c r="G28" s="147"/>
      <c r="H28" s="147"/>
      <c r="I28" s="147"/>
      <c r="J28" s="147"/>
    </row>
    <row r="29" spans="1:10" ht="12.75">
      <c r="A29" s="147"/>
      <c r="B29" s="147"/>
      <c r="C29" s="147"/>
      <c r="D29" s="147"/>
      <c r="E29" s="147"/>
      <c r="F29" s="147"/>
      <c r="G29" s="147"/>
      <c r="H29" s="147"/>
      <c r="I29" s="147"/>
      <c r="J29" s="147"/>
    </row>
    <row r="30" spans="1:10" ht="12.75">
      <c r="A30" s="147"/>
      <c r="B30" s="147"/>
      <c r="C30" s="147"/>
      <c r="D30" s="147"/>
      <c r="E30" s="147"/>
      <c r="F30" s="147"/>
      <c r="G30" s="147"/>
      <c r="H30" s="147"/>
      <c r="I30" s="147"/>
      <c r="J30" s="14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3.421875" style="0" customWidth="1"/>
    <col min="11" max="11" width="5.140625" style="0" customWidth="1"/>
    <col min="12" max="12" width="2.8515625" style="0" customWidth="1"/>
    <col min="13" max="13" width="6.421875" style="0" customWidth="1"/>
    <col min="14" max="14" width="3.7109375" style="0" customWidth="1"/>
    <col min="15" max="15" width="6.140625" style="0" customWidth="1"/>
    <col min="16" max="16" width="3.8515625" style="0" customWidth="1"/>
    <col min="17" max="17" width="4.140625" style="0" customWidth="1"/>
    <col min="18" max="18" width="1.8515625" style="0" customWidth="1"/>
    <col min="19" max="19" width="3.28125" style="0" customWidth="1"/>
    <col min="20" max="20" width="3.00390625" style="0" customWidth="1"/>
    <col min="21" max="21" width="4.140625" style="0" customWidth="1"/>
    <col min="22" max="22" width="2.00390625" style="0" customWidth="1"/>
    <col min="23" max="23" width="2.7109375" style="0" customWidth="1"/>
    <col min="24" max="24" width="5.140625" style="0" customWidth="1"/>
    <col min="25" max="25" width="2.140625" style="0" customWidth="1"/>
    <col min="26" max="26" width="7.57421875" style="0" customWidth="1"/>
  </cols>
  <sheetData>
    <row r="1" spans="2:13" ht="18">
      <c r="B1" s="256" t="s">
        <v>291</v>
      </c>
      <c r="C1" s="257"/>
      <c r="D1" s="257"/>
      <c r="E1" s="258"/>
      <c r="F1" s="25"/>
      <c r="G1" s="25"/>
      <c r="H1" s="25"/>
      <c r="I1" s="25"/>
      <c r="J1" s="187"/>
      <c r="K1" s="248" t="s">
        <v>293</v>
      </c>
      <c r="L1" s="249"/>
      <c r="M1" s="250"/>
    </row>
    <row r="2" spans="2:15" ht="21" thickBot="1">
      <c r="B2" s="125" t="s">
        <v>152</v>
      </c>
      <c r="C2" s="8" t="s">
        <v>153</v>
      </c>
      <c r="D2" s="126" t="s">
        <v>154</v>
      </c>
      <c r="E2" s="255" t="s">
        <v>155</v>
      </c>
      <c r="F2" s="25"/>
      <c r="G2" s="25"/>
      <c r="H2" s="25"/>
      <c r="I2" s="25"/>
      <c r="J2" s="187"/>
      <c r="K2" s="251">
        <f ca="1">INT(-6+12*RAND())</f>
        <v>4</v>
      </c>
      <c r="L2" s="252"/>
      <c r="M2" s="253"/>
      <c r="O2" s="527"/>
    </row>
    <row r="3" spans="2:10" ht="21" thickBot="1">
      <c r="B3" s="125">
        <v>1</v>
      </c>
      <c r="C3" s="8">
        <v>2</v>
      </c>
      <c r="D3" s="126">
        <v>1</v>
      </c>
      <c r="E3" s="255">
        <v>-3</v>
      </c>
      <c r="F3" s="25"/>
      <c r="G3" s="25"/>
      <c r="H3" s="25"/>
      <c r="I3" s="25"/>
      <c r="J3" s="187"/>
    </row>
    <row r="4" spans="2:26" ht="18.75" thickBot="1">
      <c r="B4" s="12" t="s">
        <v>294</v>
      </c>
      <c r="C4" s="10"/>
      <c r="D4" s="10"/>
      <c r="E4" s="11"/>
      <c r="F4" s="25"/>
      <c r="G4" s="25"/>
      <c r="H4" s="25"/>
      <c r="I4" s="25"/>
      <c r="J4" s="187"/>
      <c r="K4" s="269" t="s">
        <v>323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</row>
    <row r="5" spans="2:26" ht="21.75" thickBot="1">
      <c r="B5" s="13">
        <f>B3+D3</f>
        <v>2</v>
      </c>
      <c r="C5" s="14" t="s">
        <v>160</v>
      </c>
      <c r="D5" s="264"/>
      <c r="E5" s="14">
        <f>C3+E3</f>
        <v>-1</v>
      </c>
      <c r="F5" s="254"/>
      <c r="G5" s="25"/>
      <c r="H5" s="254"/>
      <c r="I5" s="254"/>
      <c r="J5" s="187"/>
      <c r="K5" s="103" t="s">
        <v>141</v>
      </c>
      <c r="L5" s="21"/>
      <c r="M5" s="50"/>
      <c r="N5" s="51"/>
      <c r="O5" s="21"/>
      <c r="P5" s="51"/>
      <c r="Q5" s="21"/>
      <c r="R5" s="21"/>
      <c r="S5" s="50"/>
      <c r="T5" s="52"/>
      <c r="U5" s="51"/>
      <c r="V5" s="21"/>
      <c r="W5" s="51"/>
      <c r="X5" s="53" t="s">
        <v>142</v>
      </c>
      <c r="Y5" s="54"/>
      <c r="Z5" s="140"/>
    </row>
    <row r="6" spans="11:26" ht="15.75" customHeight="1" thickBot="1">
      <c r="K6" s="103">
        <f aca="true" ca="1" t="shared" si="0" ref="K6:K11">INT(-6+12*RAND())</f>
        <v>0</v>
      </c>
      <c r="L6" s="21" t="s">
        <v>44</v>
      </c>
      <c r="M6" s="49">
        <f aca="true" ca="1" t="shared" si="1" ref="M6:M11">INT(-6+12*RAND())</f>
        <v>0</v>
      </c>
      <c r="N6" s="2" t="s">
        <v>1</v>
      </c>
      <c r="O6" s="49">
        <f aca="true" ca="1" t="shared" si="2" ref="O6:O11">INT(-6+12*RAND())</f>
        <v>-6</v>
      </c>
      <c r="P6" s="2" t="s">
        <v>143</v>
      </c>
      <c r="Q6" s="49">
        <f aca="true" ca="1" t="shared" si="3" ref="Q6:Q11">INT(-6+12*RAND())</f>
        <v>-6</v>
      </c>
      <c r="R6" s="21" t="s">
        <v>44</v>
      </c>
      <c r="S6" s="49">
        <f aca="true" ca="1" t="shared" si="4" ref="S6:S11">INT(-6+12*RAND())</f>
        <v>3</v>
      </c>
      <c r="T6" s="2" t="s">
        <v>1</v>
      </c>
      <c r="U6" s="49">
        <f aca="true" ca="1" t="shared" si="5" ref="U6:U11">INT(-6+12*RAND())</f>
        <v>2</v>
      </c>
      <c r="V6" s="2" t="s">
        <v>143</v>
      </c>
      <c r="W6" s="21" t="s">
        <v>42</v>
      </c>
      <c r="X6" s="54">
        <f aca="true" t="shared" si="6" ref="X6:X11">K6*M6+Q6*S6</f>
        <v>-18</v>
      </c>
      <c r="Y6" s="2" t="s">
        <v>1</v>
      </c>
      <c r="Z6" s="141">
        <f aca="true" t="shared" si="7" ref="Z6:Z11">K6*O6+Q6*U6</f>
        <v>-12</v>
      </c>
    </row>
    <row r="7" spans="2:26" ht="18.75" thickBot="1">
      <c r="B7" s="122" t="s">
        <v>151</v>
      </c>
      <c r="C7" s="123"/>
      <c r="D7" s="123"/>
      <c r="E7" s="124"/>
      <c r="F7" s="5"/>
      <c r="G7" s="5" t="s">
        <v>405</v>
      </c>
      <c r="H7" s="5"/>
      <c r="I7" s="6"/>
      <c r="J7" s="128"/>
      <c r="K7" s="103">
        <f ca="1" t="shared" si="0"/>
        <v>0</v>
      </c>
      <c r="L7" s="21" t="s">
        <v>44</v>
      </c>
      <c r="M7" s="49">
        <f ca="1" t="shared" si="1"/>
        <v>3</v>
      </c>
      <c r="N7" s="2" t="s">
        <v>1</v>
      </c>
      <c r="O7" s="49">
        <f ca="1" t="shared" si="2"/>
        <v>-5</v>
      </c>
      <c r="P7" s="2" t="s">
        <v>143</v>
      </c>
      <c r="Q7" s="49">
        <f ca="1" t="shared" si="3"/>
        <v>2</v>
      </c>
      <c r="R7" s="21" t="s">
        <v>44</v>
      </c>
      <c r="S7" s="49">
        <f ca="1" t="shared" si="4"/>
        <v>2</v>
      </c>
      <c r="T7" s="2" t="s">
        <v>1</v>
      </c>
      <c r="U7" s="49">
        <f ca="1" t="shared" si="5"/>
        <v>-5</v>
      </c>
      <c r="V7" s="2" t="s">
        <v>143</v>
      </c>
      <c r="W7" s="21" t="s">
        <v>42</v>
      </c>
      <c r="X7" s="54">
        <f t="shared" si="6"/>
        <v>4</v>
      </c>
      <c r="Y7" s="2" t="s">
        <v>1</v>
      </c>
      <c r="Z7" s="141">
        <f t="shared" si="7"/>
        <v>-10</v>
      </c>
    </row>
    <row r="8" spans="2:26" ht="20.25">
      <c r="B8" s="125" t="s">
        <v>152</v>
      </c>
      <c r="C8" s="8" t="s">
        <v>153</v>
      </c>
      <c r="D8" s="126" t="s">
        <v>154</v>
      </c>
      <c r="E8" s="9" t="s">
        <v>155</v>
      </c>
      <c r="F8" s="10"/>
      <c r="G8" s="10"/>
      <c r="H8" s="10"/>
      <c r="I8" s="11"/>
      <c r="J8" s="128"/>
      <c r="K8" s="103">
        <f ca="1" t="shared" si="0"/>
        <v>0</v>
      </c>
      <c r="L8" s="21" t="s">
        <v>44</v>
      </c>
      <c r="M8" s="49">
        <f ca="1" t="shared" si="1"/>
        <v>2</v>
      </c>
      <c r="N8" s="2" t="s">
        <v>1</v>
      </c>
      <c r="O8" s="49">
        <f ca="1" t="shared" si="2"/>
        <v>3</v>
      </c>
      <c r="P8" s="2" t="s">
        <v>143</v>
      </c>
      <c r="Q8" s="49">
        <f ca="1" t="shared" si="3"/>
        <v>5</v>
      </c>
      <c r="R8" s="21" t="s">
        <v>44</v>
      </c>
      <c r="S8" s="49">
        <f ca="1" t="shared" si="4"/>
        <v>5</v>
      </c>
      <c r="T8" s="2" t="s">
        <v>1</v>
      </c>
      <c r="U8" s="49">
        <f ca="1" t="shared" si="5"/>
        <v>3</v>
      </c>
      <c r="V8" s="2" t="s">
        <v>143</v>
      </c>
      <c r="W8" s="21" t="s">
        <v>42</v>
      </c>
      <c r="X8" s="54">
        <f t="shared" si="6"/>
        <v>25</v>
      </c>
      <c r="Y8" s="2" t="s">
        <v>1</v>
      </c>
      <c r="Z8" s="141">
        <f t="shared" si="7"/>
        <v>15</v>
      </c>
    </row>
    <row r="9" spans="2:26" ht="20.25">
      <c r="B9" s="125">
        <v>2</v>
      </c>
      <c r="C9" s="8">
        <v>1</v>
      </c>
      <c r="D9" s="126">
        <v>1</v>
      </c>
      <c r="E9" s="9">
        <v>-3</v>
      </c>
      <c r="F9" s="10"/>
      <c r="G9" s="10"/>
      <c r="H9" s="10"/>
      <c r="I9" s="11"/>
      <c r="J9" s="128"/>
      <c r="K9" s="103">
        <f ca="1" t="shared" si="0"/>
        <v>1</v>
      </c>
      <c r="L9" s="21" t="s">
        <v>44</v>
      </c>
      <c r="M9" s="49">
        <f ca="1" t="shared" si="1"/>
        <v>2</v>
      </c>
      <c r="N9" s="2" t="s">
        <v>1</v>
      </c>
      <c r="O9" s="49">
        <f ca="1" t="shared" si="2"/>
        <v>0</v>
      </c>
      <c r="P9" s="2" t="s">
        <v>143</v>
      </c>
      <c r="Q9" s="49">
        <f ca="1" t="shared" si="3"/>
        <v>-6</v>
      </c>
      <c r="R9" s="21" t="s">
        <v>44</v>
      </c>
      <c r="S9" s="49">
        <f ca="1" t="shared" si="4"/>
        <v>-2</v>
      </c>
      <c r="T9" s="2" t="s">
        <v>1</v>
      </c>
      <c r="U9" s="49">
        <f ca="1" t="shared" si="5"/>
        <v>-2</v>
      </c>
      <c r="V9" s="2" t="s">
        <v>143</v>
      </c>
      <c r="W9" s="21" t="s">
        <v>42</v>
      </c>
      <c r="X9" s="54">
        <f t="shared" si="6"/>
        <v>14</v>
      </c>
      <c r="Y9" s="2" t="s">
        <v>1</v>
      </c>
      <c r="Z9" s="141">
        <f t="shared" si="7"/>
        <v>12</v>
      </c>
    </row>
    <row r="10" spans="2:26" ht="18">
      <c r="B10" s="12" t="s">
        <v>292</v>
      </c>
      <c r="C10" s="10"/>
      <c r="D10" s="10"/>
      <c r="E10" s="10"/>
      <c r="F10" s="10"/>
      <c r="G10" s="10"/>
      <c r="H10" s="10"/>
      <c r="I10" s="11"/>
      <c r="J10" s="128"/>
      <c r="K10" s="103">
        <f ca="1" t="shared" si="0"/>
        <v>-2</v>
      </c>
      <c r="L10" s="21" t="s">
        <v>44</v>
      </c>
      <c r="M10" s="49">
        <f ca="1" t="shared" si="1"/>
        <v>-3</v>
      </c>
      <c r="N10" s="2" t="s">
        <v>1</v>
      </c>
      <c r="O10" s="49">
        <f ca="1" t="shared" si="2"/>
        <v>4</v>
      </c>
      <c r="P10" s="2" t="s">
        <v>143</v>
      </c>
      <c r="Q10" s="49">
        <f ca="1" t="shared" si="3"/>
        <v>-5</v>
      </c>
      <c r="R10" s="21" t="s">
        <v>44</v>
      </c>
      <c r="S10" s="49">
        <f ca="1" t="shared" si="4"/>
        <v>-4</v>
      </c>
      <c r="T10" s="2" t="s">
        <v>1</v>
      </c>
      <c r="U10" s="49">
        <f ca="1" t="shared" si="5"/>
        <v>-1</v>
      </c>
      <c r="V10" s="2" t="s">
        <v>143</v>
      </c>
      <c r="W10" s="21" t="s">
        <v>42</v>
      </c>
      <c r="X10" s="54">
        <f t="shared" si="6"/>
        <v>26</v>
      </c>
      <c r="Y10" s="2" t="s">
        <v>1</v>
      </c>
      <c r="Z10" s="141">
        <f t="shared" si="7"/>
        <v>-3</v>
      </c>
    </row>
    <row r="11" spans="2:26" ht="21.75" thickBot="1">
      <c r="B11" s="13">
        <f>B9*D9</f>
        <v>2</v>
      </c>
      <c r="C11" s="14" t="s">
        <v>159</v>
      </c>
      <c r="D11" s="127"/>
      <c r="E11" s="14">
        <f>C9*D9+B9*E9</f>
        <v>-5</v>
      </c>
      <c r="F11" s="14" t="s">
        <v>160</v>
      </c>
      <c r="G11" s="127"/>
      <c r="H11" s="14">
        <f>C9*E9</f>
        <v>-3</v>
      </c>
      <c r="I11" s="15" t="s">
        <v>161</v>
      </c>
      <c r="J11" s="146"/>
      <c r="K11" s="142">
        <f ca="1" t="shared" si="0"/>
        <v>-6</v>
      </c>
      <c r="L11" s="116" t="s">
        <v>44</v>
      </c>
      <c r="M11" s="143">
        <f ca="1" t="shared" si="1"/>
        <v>2</v>
      </c>
      <c r="N11" s="27" t="s">
        <v>1</v>
      </c>
      <c r="O11" s="143">
        <f ca="1" t="shared" si="2"/>
        <v>5</v>
      </c>
      <c r="P11" s="27" t="s">
        <v>143</v>
      </c>
      <c r="Q11" s="143">
        <f ca="1" t="shared" si="3"/>
        <v>4</v>
      </c>
      <c r="R11" s="116" t="s">
        <v>44</v>
      </c>
      <c r="S11" s="143">
        <f ca="1" t="shared" si="4"/>
        <v>-1</v>
      </c>
      <c r="T11" s="27" t="s">
        <v>1</v>
      </c>
      <c r="U11" s="143">
        <f ca="1" t="shared" si="5"/>
        <v>-1</v>
      </c>
      <c r="V11" s="27" t="s">
        <v>143</v>
      </c>
      <c r="W11" s="116" t="s">
        <v>42</v>
      </c>
      <c r="X11" s="144">
        <f t="shared" si="6"/>
        <v>-16</v>
      </c>
      <c r="Y11" s="27" t="s">
        <v>1</v>
      </c>
      <c r="Z11" s="145">
        <f t="shared" si="7"/>
        <v>-34</v>
      </c>
    </row>
    <row r="12" spans="1:16" ht="5.25" customHeight="1" thickBot="1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55"/>
      <c r="N12" s="55"/>
      <c r="O12" s="55"/>
      <c r="P12" s="23"/>
    </row>
    <row r="13" spans="2:16" ht="18.75" thickBot="1">
      <c r="B13" s="122" t="s">
        <v>162</v>
      </c>
      <c r="C13" s="123"/>
      <c r="D13" s="123"/>
      <c r="E13" s="124"/>
      <c r="F13" s="5"/>
      <c r="G13" s="5"/>
      <c r="H13" s="5"/>
      <c r="I13" s="5"/>
      <c r="J13" s="5"/>
      <c r="K13" s="16"/>
      <c r="L13" s="17"/>
      <c r="M13" s="55"/>
      <c r="N13" s="55"/>
      <c r="O13" s="55"/>
      <c r="P13" s="23"/>
    </row>
    <row r="14" spans="2:26" ht="20.25">
      <c r="B14" s="7" t="s">
        <v>152</v>
      </c>
      <c r="C14" s="8" t="s">
        <v>153</v>
      </c>
      <c r="D14" s="126" t="s">
        <v>154</v>
      </c>
      <c r="E14" s="9" t="s">
        <v>155</v>
      </c>
      <c r="F14" s="26" t="s">
        <v>163</v>
      </c>
      <c r="G14" s="18" t="s">
        <v>164</v>
      </c>
      <c r="H14" s="10"/>
      <c r="I14" s="10"/>
      <c r="J14" s="10"/>
      <c r="K14" s="10"/>
      <c r="L14" s="11"/>
      <c r="M14" s="55"/>
      <c r="N14" s="55"/>
      <c r="O14" s="528" t="s">
        <v>489</v>
      </c>
      <c r="P14" s="528"/>
      <c r="Q14" s="523"/>
      <c r="R14" s="523"/>
      <c r="S14" s="523"/>
      <c r="T14" s="523"/>
      <c r="U14" s="523"/>
      <c r="V14" s="523"/>
      <c r="W14" s="523"/>
      <c r="X14" s="523"/>
      <c r="Y14" s="523"/>
      <c r="Z14" s="523"/>
    </row>
    <row r="15" spans="2:26" ht="20.25">
      <c r="B15" s="7">
        <v>1</v>
      </c>
      <c r="C15" s="8">
        <v>1</v>
      </c>
      <c r="D15" s="126">
        <v>1</v>
      </c>
      <c r="E15" s="9">
        <v>1</v>
      </c>
      <c r="F15" s="26">
        <v>1</v>
      </c>
      <c r="G15" s="18">
        <v>1</v>
      </c>
      <c r="H15" s="10"/>
      <c r="I15" s="10"/>
      <c r="J15" s="10"/>
      <c r="K15" s="10"/>
      <c r="L15" s="11"/>
      <c r="M15" s="55"/>
      <c r="N15" s="55"/>
      <c r="O15" s="528"/>
      <c r="P15" s="528" t="s">
        <v>490</v>
      </c>
      <c r="Q15" s="523"/>
      <c r="R15" s="523"/>
      <c r="S15" s="523"/>
      <c r="T15" s="523"/>
      <c r="U15" s="523"/>
      <c r="V15" s="523"/>
      <c r="W15" s="523"/>
      <c r="X15" s="523"/>
      <c r="Y15" s="523"/>
      <c r="Z15" s="523"/>
    </row>
    <row r="16" spans="2:26" ht="18">
      <c r="B16" s="12" t="s">
        <v>156</v>
      </c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55"/>
      <c r="N16" s="55"/>
      <c r="O16" s="528"/>
      <c r="P16" s="528" t="s">
        <v>484</v>
      </c>
      <c r="Q16" s="523"/>
      <c r="R16" s="523"/>
      <c r="S16" s="523"/>
      <c r="T16" s="523"/>
      <c r="U16" s="523"/>
      <c r="V16" s="523"/>
      <c r="W16" s="523"/>
      <c r="X16" s="523"/>
      <c r="Y16" s="523"/>
      <c r="Z16" s="523"/>
    </row>
    <row r="17" spans="2:16" ht="21.75" thickBot="1">
      <c r="B17" s="19">
        <f>B15*D15*F15</f>
        <v>1</v>
      </c>
      <c r="C17" s="14" t="s">
        <v>166</v>
      </c>
      <c r="D17" s="127"/>
      <c r="E17" s="20">
        <f>B15*D15*G15+F15*(C15*D15+B15*E15)</f>
        <v>3</v>
      </c>
      <c r="F17" s="14" t="s">
        <v>159</v>
      </c>
      <c r="G17" s="127"/>
      <c r="H17" s="20">
        <f>C15*E15*F15+G15*(C15*D15+B15*E15)</f>
        <v>3</v>
      </c>
      <c r="I17" s="14" t="s">
        <v>160</v>
      </c>
      <c r="J17" s="127"/>
      <c r="K17" s="20">
        <f>C15*D15*G15</f>
        <v>1</v>
      </c>
      <c r="L17" s="15" t="s">
        <v>161</v>
      </c>
      <c r="M17" s="128"/>
      <c r="N17" s="128"/>
      <c r="O17" s="55"/>
      <c r="P17" s="23"/>
    </row>
    <row r="18" spans="1:16" ht="5.25" customHeight="1" thickBot="1">
      <c r="A18" s="147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ht="15.75">
      <c r="B19" s="133" t="s">
        <v>198</v>
      </c>
      <c r="C19" s="134"/>
      <c r="D19" s="134"/>
      <c r="E19" s="134"/>
      <c r="F19" s="134" t="s">
        <v>199</v>
      </c>
      <c r="G19" s="134"/>
      <c r="H19" s="134"/>
      <c r="I19" s="134"/>
      <c r="J19" s="134"/>
      <c r="K19" s="134"/>
      <c r="L19" s="134"/>
      <c r="M19" s="134"/>
      <c r="N19" s="134"/>
      <c r="O19" s="134"/>
      <c r="P19" s="135"/>
    </row>
    <row r="20" spans="2:16" ht="18.75" thickBot="1">
      <c r="B20" s="136" t="s">
        <v>0</v>
      </c>
      <c r="C20" s="137" t="s">
        <v>38</v>
      </c>
      <c r="D20" s="130">
        <f ca="1">INT(-6+12*RAND())</f>
        <v>-4</v>
      </c>
      <c r="E20" s="137" t="s">
        <v>170</v>
      </c>
      <c r="F20" s="130">
        <f ca="1">INT(-6+12*RAND())</f>
        <v>2</v>
      </c>
      <c r="G20" s="137" t="s">
        <v>172</v>
      </c>
      <c r="H20" s="130">
        <f ca="1">INT(-6+12*RAND())</f>
        <v>3</v>
      </c>
      <c r="I20" s="137" t="s">
        <v>170</v>
      </c>
      <c r="J20" s="130">
        <f ca="1">INT(-6+12*RAND())</f>
        <v>5</v>
      </c>
      <c r="K20" s="137" t="s">
        <v>173</v>
      </c>
      <c r="L20" s="131">
        <f>D20*H20</f>
        <v>-12</v>
      </c>
      <c r="M20" s="137" t="s">
        <v>171</v>
      </c>
      <c r="N20" s="131">
        <f>F20*H20+D20*J20</f>
        <v>-14</v>
      </c>
      <c r="O20" s="137" t="s">
        <v>170</v>
      </c>
      <c r="P20" s="132">
        <f>F20*J20</f>
        <v>10</v>
      </c>
    </row>
    <row r="21" ht="6" customHeight="1" thickBot="1"/>
    <row r="22" spans="2:14" ht="18.75" thickBot="1">
      <c r="B22" s="269" t="s">
        <v>296</v>
      </c>
      <c r="C22" s="267"/>
      <c r="D22" s="267"/>
      <c r="E22" s="267"/>
      <c r="F22" s="268"/>
      <c r="G22" s="260"/>
      <c r="H22" s="259"/>
      <c r="I22" s="259"/>
      <c r="J22" s="259"/>
      <c r="K22" s="259"/>
      <c r="L22" s="259"/>
      <c r="M22" s="259"/>
      <c r="N22" s="259"/>
    </row>
    <row r="23" spans="2:14" ht="20.25">
      <c r="B23" s="7" t="s">
        <v>152</v>
      </c>
      <c r="C23" s="8" t="s">
        <v>153</v>
      </c>
      <c r="D23" s="126" t="s">
        <v>154</v>
      </c>
      <c r="E23" s="9" t="s">
        <v>155</v>
      </c>
      <c r="F23" s="26" t="s">
        <v>163</v>
      </c>
      <c r="G23" s="266" t="s">
        <v>164</v>
      </c>
      <c r="H23" s="259"/>
      <c r="I23" s="259"/>
      <c r="J23" s="259"/>
      <c r="K23" s="259"/>
      <c r="L23" s="259"/>
      <c r="M23" s="259"/>
      <c r="N23" s="259"/>
    </row>
    <row r="24" spans="2:14" ht="20.25">
      <c r="B24" s="7">
        <v>4</v>
      </c>
      <c r="C24" s="8">
        <v>2</v>
      </c>
      <c r="D24" s="126">
        <v>6</v>
      </c>
      <c r="E24" s="9">
        <v>1</v>
      </c>
      <c r="F24" s="26">
        <v>1</v>
      </c>
      <c r="G24" s="266">
        <v>1</v>
      </c>
      <c r="H24" s="259"/>
      <c r="I24" s="259"/>
      <c r="J24" s="259"/>
      <c r="K24" s="259"/>
      <c r="L24" s="259"/>
      <c r="M24" s="259"/>
      <c r="N24" s="259"/>
    </row>
    <row r="25" spans="2:14" ht="18">
      <c r="B25" s="263" t="s">
        <v>295</v>
      </c>
      <c r="C25" s="261"/>
      <c r="D25" s="261"/>
      <c r="E25" s="261"/>
      <c r="F25" s="261"/>
      <c r="G25" s="262"/>
      <c r="H25" s="259"/>
      <c r="I25" s="259"/>
      <c r="J25" s="259"/>
      <c r="K25" s="259"/>
      <c r="L25" s="259"/>
      <c r="M25" s="259"/>
      <c r="N25" s="259"/>
    </row>
    <row r="26" spans="2:7" ht="21.75" thickBot="1">
      <c r="B26" s="19">
        <f>B24*C24+E24*F24</f>
        <v>9</v>
      </c>
      <c r="C26" s="14" t="s">
        <v>160</v>
      </c>
      <c r="D26" s="127"/>
      <c r="E26" s="20">
        <f>B24*D24+E24*G24</f>
        <v>25</v>
      </c>
      <c r="F26" s="14" t="s">
        <v>161</v>
      </c>
      <c r="G26" s="265"/>
    </row>
    <row r="27" ht="13.5" thickBot="1"/>
    <row r="28" spans="2:10" ht="18.75" thickBot="1">
      <c r="B28" s="122" t="s">
        <v>403</v>
      </c>
      <c r="C28" s="123"/>
      <c r="D28" s="123"/>
      <c r="E28" s="123"/>
      <c r="F28" s="390"/>
      <c r="G28" s="391"/>
      <c r="H28" s="5"/>
      <c r="I28" s="5"/>
      <c r="J28" s="250"/>
    </row>
    <row r="29" spans="2:10" ht="20.25">
      <c r="B29" s="389" t="s">
        <v>213</v>
      </c>
      <c r="C29" s="226" t="s">
        <v>152</v>
      </c>
      <c r="D29" s="8" t="s">
        <v>153</v>
      </c>
      <c r="E29" s="126" t="s">
        <v>154</v>
      </c>
      <c r="F29" s="9" t="s">
        <v>155</v>
      </c>
      <c r="G29" s="10"/>
      <c r="H29" s="10"/>
      <c r="I29" s="10"/>
      <c r="J29" s="11"/>
    </row>
    <row r="30" spans="2:10" ht="20.25">
      <c r="B30" s="389">
        <v>-16</v>
      </c>
      <c r="C30" s="226">
        <v>1</v>
      </c>
      <c r="D30" s="8">
        <v>1</v>
      </c>
      <c r="E30" s="126">
        <v>1</v>
      </c>
      <c r="F30" s="9">
        <v>-2</v>
      </c>
      <c r="G30" s="10"/>
      <c r="H30" s="10"/>
      <c r="I30" s="10"/>
      <c r="J30" s="11"/>
    </row>
    <row r="31" spans="2:10" ht="18">
      <c r="B31" s="308"/>
      <c r="C31" s="10" t="s">
        <v>404</v>
      </c>
      <c r="D31" s="10"/>
      <c r="E31" s="10"/>
      <c r="F31" s="10"/>
      <c r="G31" s="10"/>
      <c r="H31" s="10"/>
      <c r="I31" s="10"/>
      <c r="J31" s="11"/>
    </row>
    <row r="32" spans="2:10" ht="21.75" thickBot="1">
      <c r="B32" s="309"/>
      <c r="C32" s="14">
        <f>C30*E30*B30</f>
        <v>-16</v>
      </c>
      <c r="D32" s="14" t="s">
        <v>159</v>
      </c>
      <c r="E32" s="127"/>
      <c r="F32" s="14">
        <f>D30*E30+C30*F30*B30</f>
        <v>33</v>
      </c>
      <c r="G32" s="14" t="s">
        <v>160</v>
      </c>
      <c r="H32" s="127"/>
      <c r="I32" s="14">
        <f>D30*F30*B30</f>
        <v>32</v>
      </c>
      <c r="J32" s="15" t="s">
        <v>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U21" sqref="U21"/>
    </sheetView>
  </sheetViews>
  <sheetFormatPr defaultColWidth="9.140625" defaultRowHeight="12.75"/>
  <cols>
    <col min="1" max="1" width="2.57421875" style="0" customWidth="1"/>
    <col min="2" max="2" width="5.28125" style="23" customWidth="1"/>
    <col min="3" max="3" width="6.421875" style="23" customWidth="1"/>
    <col min="4" max="4" width="9.421875" style="23" customWidth="1"/>
    <col min="5" max="5" width="7.140625" style="23" customWidth="1"/>
    <col min="6" max="6" width="9.421875" style="23" customWidth="1"/>
    <col min="7" max="7" width="5.8515625" style="23" customWidth="1"/>
    <col min="8" max="9" width="6.57421875" style="23" customWidth="1"/>
    <col min="10" max="10" width="2.140625" style="301" customWidth="1"/>
    <col min="12" max="12" width="4.7109375" style="0" customWidth="1"/>
    <col min="14" max="14" width="2.140625" style="0" customWidth="1"/>
    <col min="16" max="16" width="2.28125" style="301" customWidth="1"/>
    <col min="17" max="17" width="6.421875" style="0" customWidth="1"/>
    <col min="18" max="18" width="4.8515625" style="0" customWidth="1"/>
    <col min="19" max="19" width="6.421875" style="0" customWidth="1"/>
    <col min="20" max="20" width="4.140625" style="0" customWidth="1"/>
  </cols>
  <sheetData>
    <row r="1" spans="1:11" ht="16.5" thickBot="1">
      <c r="A1" s="139"/>
      <c r="B1" s="30" t="s">
        <v>330</v>
      </c>
      <c r="C1" s="30"/>
      <c r="D1" s="30"/>
      <c r="E1" s="30"/>
      <c r="F1" s="30"/>
      <c r="G1" s="30"/>
      <c r="H1" s="30"/>
      <c r="I1" s="30"/>
      <c r="K1" s="23" t="s">
        <v>331</v>
      </c>
    </row>
    <row r="2" spans="1:24" ht="19.5" thickBot="1">
      <c r="A2" s="139"/>
      <c r="C2" s="27" t="s">
        <v>5</v>
      </c>
      <c r="D2" s="27" t="s">
        <v>170</v>
      </c>
      <c r="E2" s="27" t="s">
        <v>6</v>
      </c>
      <c r="F2" s="21" t="s">
        <v>174</v>
      </c>
      <c r="G2" s="27" t="s">
        <v>145</v>
      </c>
      <c r="H2" s="27" t="s">
        <v>170</v>
      </c>
      <c r="I2" s="27" t="s">
        <v>146</v>
      </c>
      <c r="K2" s="303" t="s">
        <v>5</v>
      </c>
      <c r="L2" s="304" t="s">
        <v>6</v>
      </c>
      <c r="M2" s="304" t="s">
        <v>7</v>
      </c>
      <c r="N2" s="249"/>
      <c r="O2" s="250"/>
      <c r="Q2" s="303" t="s">
        <v>144</v>
      </c>
      <c r="R2" s="304" t="s">
        <v>145</v>
      </c>
      <c r="S2" s="304" t="s">
        <v>146</v>
      </c>
      <c r="T2" s="249"/>
      <c r="U2" s="249"/>
      <c r="V2" s="99" t="s">
        <v>194</v>
      </c>
      <c r="W2" s="101"/>
      <c r="X2" s="114"/>
    </row>
    <row r="3" spans="1:24" ht="15.75">
      <c r="A3" s="139"/>
      <c r="C3" s="2" t="s">
        <v>7</v>
      </c>
      <c r="D3" s="2" t="s">
        <v>170</v>
      </c>
      <c r="E3" s="2" t="s">
        <v>144</v>
      </c>
      <c r="G3" s="2" t="s">
        <v>147</v>
      </c>
      <c r="H3" s="2" t="s">
        <v>170</v>
      </c>
      <c r="I3" s="2" t="s">
        <v>148</v>
      </c>
      <c r="K3" s="305">
        <v>2</v>
      </c>
      <c r="L3" s="306">
        <v>6</v>
      </c>
      <c r="M3" s="306">
        <v>4</v>
      </c>
      <c r="N3" s="270"/>
      <c r="O3" s="307"/>
      <c r="Q3" s="305">
        <v>2</v>
      </c>
      <c r="R3" s="306">
        <v>3</v>
      </c>
      <c r="S3" s="306">
        <v>5</v>
      </c>
      <c r="T3" s="270"/>
      <c r="U3" s="270"/>
      <c r="V3" s="314" t="s">
        <v>2</v>
      </c>
      <c r="W3" s="315" t="s">
        <v>3</v>
      </c>
      <c r="X3" s="316" t="s">
        <v>4</v>
      </c>
    </row>
    <row r="4" spans="1:24" ht="15.75">
      <c r="A4" s="139"/>
      <c r="C4" s="2"/>
      <c r="D4" s="2"/>
      <c r="E4" s="2"/>
      <c r="K4" s="308"/>
      <c r="L4" s="270"/>
      <c r="M4" s="270"/>
      <c r="N4" s="270"/>
      <c r="O4" s="307"/>
      <c r="Q4" s="308"/>
      <c r="R4" s="270"/>
      <c r="S4" s="270"/>
      <c r="T4" s="270"/>
      <c r="U4" s="270"/>
      <c r="V4" s="317">
        <f>Q3+R3</f>
        <v>5</v>
      </c>
      <c r="W4" s="318">
        <f>2*Q3+R3+S3</f>
        <v>12</v>
      </c>
      <c r="X4" s="319">
        <f>Q3</f>
        <v>2</v>
      </c>
    </row>
    <row r="5" spans="1:24" ht="16.5" thickBot="1">
      <c r="A5" s="139"/>
      <c r="C5" s="28">
        <v>1</v>
      </c>
      <c r="D5" s="27" t="s">
        <v>170</v>
      </c>
      <c r="E5" s="28">
        <v>8</v>
      </c>
      <c r="F5" s="21" t="s">
        <v>175</v>
      </c>
      <c r="G5" s="28">
        <v>1</v>
      </c>
      <c r="H5" s="27" t="s">
        <v>170</v>
      </c>
      <c r="I5" s="28">
        <v>4</v>
      </c>
      <c r="K5" s="309" t="s">
        <v>5</v>
      </c>
      <c r="L5" s="187" t="s">
        <v>309</v>
      </c>
      <c r="M5" s="252" t="s">
        <v>6</v>
      </c>
      <c r="N5" s="187" t="s">
        <v>42</v>
      </c>
      <c r="O5" s="253" t="s">
        <v>7</v>
      </c>
      <c r="Q5" s="309" t="s">
        <v>144</v>
      </c>
      <c r="R5" s="187" t="s">
        <v>309</v>
      </c>
      <c r="S5" s="252" t="s">
        <v>145</v>
      </c>
      <c r="T5" s="187" t="s">
        <v>42</v>
      </c>
      <c r="U5" s="252" t="s">
        <v>146</v>
      </c>
      <c r="V5" s="88"/>
      <c r="W5" s="3"/>
      <c r="X5" s="102"/>
    </row>
    <row r="6" spans="1:24" ht="15.75">
      <c r="A6" s="139"/>
      <c r="C6" s="22">
        <v>0</v>
      </c>
      <c r="D6" s="2" t="s">
        <v>170</v>
      </c>
      <c r="E6" s="22">
        <v>2</v>
      </c>
      <c r="G6" s="22">
        <v>0</v>
      </c>
      <c r="H6" s="2" t="s">
        <v>170</v>
      </c>
      <c r="I6" s="22">
        <v>4</v>
      </c>
      <c r="K6" s="308" t="s">
        <v>311</v>
      </c>
      <c r="L6" s="270"/>
      <c r="M6" s="270" t="s">
        <v>312</v>
      </c>
      <c r="N6" s="270"/>
      <c r="O6" s="307" t="s">
        <v>314</v>
      </c>
      <c r="Q6" s="308" t="s">
        <v>1</v>
      </c>
      <c r="R6" s="270"/>
      <c r="S6" s="270" t="s">
        <v>318</v>
      </c>
      <c r="T6" s="270"/>
      <c r="U6" s="270" t="s">
        <v>319</v>
      </c>
      <c r="V6" s="110" t="s">
        <v>157</v>
      </c>
      <c r="W6" s="3"/>
      <c r="X6" s="102"/>
    </row>
    <row r="7" spans="1:24" ht="15.75">
      <c r="A7" s="139"/>
      <c r="B7" s="21"/>
      <c r="C7" s="21"/>
      <c r="D7" s="21"/>
      <c r="E7" s="21"/>
      <c r="F7" s="21"/>
      <c r="K7" s="308" t="s">
        <v>310</v>
      </c>
      <c r="L7" s="270"/>
      <c r="M7" s="270" t="s">
        <v>313</v>
      </c>
      <c r="N7" s="270"/>
      <c r="O7" s="307" t="s">
        <v>315</v>
      </c>
      <c r="Q7" s="308"/>
      <c r="R7" s="270"/>
      <c r="S7" s="270"/>
      <c r="T7" s="270"/>
      <c r="U7" s="270"/>
      <c r="V7" s="88"/>
      <c r="W7" s="3"/>
      <c r="X7" s="102"/>
    </row>
    <row r="8" spans="1:24" ht="15.75">
      <c r="A8" s="139"/>
      <c r="K8" s="308"/>
      <c r="L8" s="270"/>
      <c r="M8" s="270"/>
      <c r="N8" s="270"/>
      <c r="O8" s="307"/>
      <c r="Q8" s="308"/>
      <c r="R8" s="270"/>
      <c r="S8" s="270"/>
      <c r="T8" s="270"/>
      <c r="U8" s="270"/>
      <c r="V8" s="88"/>
      <c r="W8" s="3"/>
      <c r="X8" s="102"/>
    </row>
    <row r="9" spans="1:24" ht="15.75">
      <c r="A9" s="139"/>
      <c r="B9" s="23" t="s">
        <v>177</v>
      </c>
      <c r="C9" s="31">
        <f>C5*G6-C6*G5</f>
        <v>0</v>
      </c>
      <c r="D9" s="32" t="s">
        <v>171</v>
      </c>
      <c r="E9" s="31">
        <f>E5*G6+C5*I6-E6*G5-C6*I5</f>
        <v>2</v>
      </c>
      <c r="F9" s="32" t="s">
        <v>170</v>
      </c>
      <c r="G9" s="31">
        <f>E5*I6-E6*I5</f>
        <v>24</v>
      </c>
      <c r="H9" s="2"/>
      <c r="K9" s="308" t="s">
        <v>316</v>
      </c>
      <c r="L9" s="270"/>
      <c r="M9" s="270"/>
      <c r="N9" s="270"/>
      <c r="O9" s="307"/>
      <c r="Q9" s="308" t="s">
        <v>320</v>
      </c>
      <c r="R9" s="270"/>
      <c r="S9" s="270"/>
      <c r="T9" s="270"/>
      <c r="U9" s="270"/>
      <c r="V9" s="110" t="s">
        <v>157</v>
      </c>
      <c r="W9" s="3"/>
      <c r="X9" s="102"/>
    </row>
    <row r="10" spans="1:24" ht="15.75">
      <c r="A10" s="139"/>
      <c r="C10" s="2" t="s">
        <v>203</v>
      </c>
      <c r="D10" s="2"/>
      <c r="E10" s="2"/>
      <c r="F10" s="2"/>
      <c r="G10" s="2" t="s">
        <v>202</v>
      </c>
      <c r="H10" s="2"/>
      <c r="K10" s="308"/>
      <c r="L10" s="270"/>
      <c r="M10" s="270"/>
      <c r="N10" s="270"/>
      <c r="O10" s="307"/>
      <c r="Q10" s="308"/>
      <c r="R10" s="270"/>
      <c r="S10" s="270"/>
      <c r="T10" s="270"/>
      <c r="U10" s="270"/>
      <c r="V10" s="88"/>
      <c r="W10" s="3"/>
      <c r="X10" s="102"/>
    </row>
    <row r="11" spans="1:24" ht="18.75">
      <c r="A11" s="139"/>
      <c r="C11" s="88" t="s">
        <v>194</v>
      </c>
      <c r="D11" s="2"/>
      <c r="E11" s="63"/>
      <c r="G11" s="88" t="s">
        <v>194</v>
      </c>
      <c r="H11" s="2"/>
      <c r="I11" s="63"/>
      <c r="K11" s="308" t="s">
        <v>317</v>
      </c>
      <c r="L11" s="270"/>
      <c r="M11" s="270"/>
      <c r="N11" s="270"/>
      <c r="O11" s="307"/>
      <c r="Q11" s="308" t="s">
        <v>321</v>
      </c>
      <c r="R11" s="270"/>
      <c r="S11" s="270"/>
      <c r="T11" s="270"/>
      <c r="U11" s="270"/>
      <c r="V11" s="88" t="s">
        <v>165</v>
      </c>
      <c r="W11" s="185">
        <f>-W4/(2*V4)+SQRT(W4^2-4*V4*X4)/(2*V4)</f>
        <v>-0.18019609728144315</v>
      </c>
      <c r="X11" s="102"/>
    </row>
    <row r="12" spans="1:24" ht="16.5" thickBot="1">
      <c r="A12" s="139"/>
      <c r="C12" s="90" t="s">
        <v>2</v>
      </c>
      <c r="D12" s="91" t="s">
        <v>3</v>
      </c>
      <c r="E12" s="92" t="s">
        <v>4</v>
      </c>
      <c r="F12" s="23" t="s">
        <v>179</v>
      </c>
      <c r="G12" s="90" t="s">
        <v>2</v>
      </c>
      <c r="H12" s="91" t="s">
        <v>3</v>
      </c>
      <c r="I12" s="92" t="s">
        <v>4</v>
      </c>
      <c r="K12" s="308"/>
      <c r="L12" s="270"/>
      <c r="M12" s="270"/>
      <c r="N12" s="270"/>
      <c r="O12" s="307"/>
      <c r="Q12" s="308"/>
      <c r="R12" s="270"/>
      <c r="S12" s="270"/>
      <c r="T12" s="270"/>
      <c r="U12" s="270"/>
      <c r="V12" s="106" t="s">
        <v>165</v>
      </c>
      <c r="W12" s="313">
        <f>-W4/(2*V4)-SQRT(W4^2-4*V4*X4)/(2*V4)</f>
        <v>-2.2198039027185565</v>
      </c>
      <c r="X12" s="108"/>
    </row>
    <row r="13" spans="1:24" ht="16.5" thickBot="1">
      <c r="A13" s="139"/>
      <c r="C13" s="96">
        <f>C9</f>
        <v>0</v>
      </c>
      <c r="D13" s="97">
        <f>E9</f>
        <v>2</v>
      </c>
      <c r="E13" s="98">
        <f>G9</f>
        <v>24</v>
      </c>
      <c r="G13" s="96">
        <f>C13</f>
        <v>0</v>
      </c>
      <c r="H13" s="97">
        <f>D13</f>
        <v>2</v>
      </c>
      <c r="I13" s="98">
        <f>E13</f>
        <v>24</v>
      </c>
      <c r="K13" s="308" t="s">
        <v>333</v>
      </c>
      <c r="L13" s="270"/>
      <c r="M13" s="270"/>
      <c r="N13" s="270"/>
      <c r="O13" s="307"/>
      <c r="Q13" s="309" t="s">
        <v>322</v>
      </c>
      <c r="R13" s="252"/>
      <c r="S13" s="252"/>
      <c r="T13" s="252"/>
      <c r="U13" s="252"/>
      <c r="V13" s="252"/>
      <c r="W13" s="252"/>
      <c r="X13" s="253"/>
    </row>
    <row r="14" spans="1:21" ht="15.75">
      <c r="A14" s="139"/>
      <c r="C14" s="88" t="s">
        <v>165</v>
      </c>
      <c r="D14" s="87" t="e">
        <f>-D13/(2*C13)+SQRT(D13^2-4*C13*E13)/(2*C13)</f>
        <v>#DIV/0!</v>
      </c>
      <c r="E14" s="102"/>
      <c r="G14" s="88" t="s">
        <v>165</v>
      </c>
      <c r="H14" s="87">
        <f>-1*I13/H13</f>
        <v>-12</v>
      </c>
      <c r="I14" s="102"/>
      <c r="K14" s="310">
        <f>K3+L3-M3</f>
        <v>4</v>
      </c>
      <c r="L14" s="270" t="s">
        <v>157</v>
      </c>
      <c r="M14" s="311">
        <f>-3*K3+L3+M3</f>
        <v>4</v>
      </c>
      <c r="N14" s="270"/>
      <c r="O14" s="307" t="s">
        <v>304</v>
      </c>
      <c r="Q14" s="147"/>
      <c r="R14" s="147"/>
      <c r="S14" s="147"/>
      <c r="T14" s="147"/>
      <c r="U14" s="147"/>
    </row>
    <row r="15" spans="1:21" ht="16.5" thickBot="1">
      <c r="A15" s="139"/>
      <c r="C15" s="88" t="s">
        <v>179</v>
      </c>
      <c r="D15" s="3"/>
      <c r="E15" s="102"/>
      <c r="G15" s="88"/>
      <c r="H15" s="3"/>
      <c r="I15" s="102"/>
      <c r="K15" s="309"/>
      <c r="L15" s="252" t="s">
        <v>157</v>
      </c>
      <c r="M15" s="312">
        <f>M14/K14</f>
        <v>1</v>
      </c>
      <c r="N15" s="252"/>
      <c r="O15" s="253" t="s">
        <v>243</v>
      </c>
      <c r="Q15" s="147"/>
      <c r="R15" s="147"/>
      <c r="S15" s="147"/>
      <c r="T15" s="147"/>
      <c r="U15" s="147"/>
    </row>
    <row r="16" spans="1:21" ht="16.5" thickBot="1">
      <c r="A16" s="139"/>
      <c r="C16" s="106" t="s">
        <v>165</v>
      </c>
      <c r="D16" s="107" t="e">
        <f>-D13/(2*C13)-SQRT(D13^2-4*C13*E13)/(2*C13)</f>
        <v>#DIV/0!</v>
      </c>
      <c r="E16" s="108"/>
      <c r="G16" s="106"/>
      <c r="H16" s="115"/>
      <c r="I16" s="108"/>
      <c r="Q16" s="147"/>
      <c r="R16" s="147"/>
      <c r="S16" s="147"/>
      <c r="T16" s="147"/>
      <c r="U16" s="147"/>
    </row>
    <row r="17" spans="1:15" ht="15.75">
      <c r="A17" s="139"/>
      <c r="K17" s="302" t="s">
        <v>5</v>
      </c>
      <c r="L17" s="302" t="s">
        <v>6</v>
      </c>
      <c r="M17" s="302" t="s">
        <v>7</v>
      </c>
      <c r="N17" s="299"/>
      <c r="O17" s="299"/>
    </row>
    <row r="18" spans="11:15" ht="15.75">
      <c r="K18" s="302">
        <v>4</v>
      </c>
      <c r="L18" s="302">
        <v>1</v>
      </c>
      <c r="M18" s="302">
        <v>4</v>
      </c>
      <c r="N18" s="299"/>
      <c r="O18" s="299"/>
    </row>
    <row r="19" spans="2:15" ht="16.5" thickBot="1">
      <c r="B19" s="104" t="s">
        <v>1</v>
      </c>
      <c r="C19" s="23" t="s">
        <v>175</v>
      </c>
      <c r="D19" s="104">
        <v>4</v>
      </c>
      <c r="E19" s="23" t="s">
        <v>178</v>
      </c>
      <c r="F19" s="23" t="s">
        <v>180</v>
      </c>
      <c r="G19" s="23" t="s">
        <v>182</v>
      </c>
      <c r="H19" s="23">
        <v>4</v>
      </c>
      <c r="K19" s="299"/>
      <c r="L19" s="299"/>
      <c r="M19" s="299"/>
      <c r="N19" s="299"/>
      <c r="O19" s="299"/>
    </row>
    <row r="20" spans="2:15" ht="16.5" thickBot="1">
      <c r="B20" s="105" t="s">
        <v>181</v>
      </c>
      <c r="D20" s="105" t="s">
        <v>181</v>
      </c>
      <c r="K20" s="300" t="s">
        <v>5</v>
      </c>
      <c r="L20" s="299" t="s">
        <v>309</v>
      </c>
      <c r="M20" s="300" t="s">
        <v>6</v>
      </c>
      <c r="N20" s="299" t="s">
        <v>42</v>
      </c>
      <c r="O20" s="300" t="s">
        <v>7</v>
      </c>
    </row>
    <row r="21" spans="2:15" ht="15.75">
      <c r="B21" s="105"/>
      <c r="D21" s="105"/>
      <c r="K21" s="299" t="s">
        <v>311</v>
      </c>
      <c r="L21" s="299"/>
      <c r="M21" s="299" t="s">
        <v>312</v>
      </c>
      <c r="N21" s="299"/>
      <c r="O21" s="299" t="s">
        <v>314</v>
      </c>
    </row>
    <row r="22" spans="2:15" ht="16.5" thickBot="1">
      <c r="B22" s="104" t="s">
        <v>183</v>
      </c>
      <c r="C22" s="23" t="s">
        <v>175</v>
      </c>
      <c r="D22" s="104" t="s">
        <v>184</v>
      </c>
      <c r="E22" s="23" t="s">
        <v>178</v>
      </c>
      <c r="F22" s="23" t="s">
        <v>185</v>
      </c>
      <c r="G22" s="23" t="s">
        <v>182</v>
      </c>
      <c r="H22" s="23">
        <v>2</v>
      </c>
      <c r="K22" s="299" t="s">
        <v>310</v>
      </c>
      <c r="L22" s="299"/>
      <c r="M22" s="299" t="s">
        <v>313</v>
      </c>
      <c r="N22" s="299"/>
      <c r="O22" s="299" t="s">
        <v>315</v>
      </c>
    </row>
    <row r="23" spans="2:15" ht="15.75">
      <c r="B23" s="105" t="s">
        <v>186</v>
      </c>
      <c r="D23" s="105">
        <v>2</v>
      </c>
      <c r="K23" s="299"/>
      <c r="L23" s="299"/>
      <c r="M23" s="299"/>
      <c r="N23" s="299"/>
      <c r="O23" s="299"/>
    </row>
    <row r="24" spans="2:15" ht="15.75">
      <c r="B24" s="105"/>
      <c r="D24" s="105"/>
      <c r="K24" s="332" t="s">
        <v>316</v>
      </c>
      <c r="L24" s="330"/>
      <c r="M24" s="330"/>
      <c r="N24" s="299"/>
      <c r="O24" s="299"/>
    </row>
    <row r="25" spans="2:15" ht="16.5" thickBot="1">
      <c r="B25" s="104" t="s">
        <v>187</v>
      </c>
      <c r="C25" s="23" t="s">
        <v>175</v>
      </c>
      <c r="D25" s="104" t="s">
        <v>188</v>
      </c>
      <c r="E25" s="23" t="s">
        <v>178</v>
      </c>
      <c r="F25" s="23" t="s">
        <v>189</v>
      </c>
      <c r="G25" s="23" t="s">
        <v>182</v>
      </c>
      <c r="H25" s="23">
        <v>-1</v>
      </c>
      <c r="K25" s="332"/>
      <c r="L25" s="330"/>
      <c r="M25" s="330"/>
      <c r="N25" s="299"/>
      <c r="O25" s="299"/>
    </row>
    <row r="26" spans="2:15" ht="15.75">
      <c r="B26" s="105" t="s">
        <v>1</v>
      </c>
      <c r="D26" s="105" t="s">
        <v>181</v>
      </c>
      <c r="H26" s="23" t="s">
        <v>207</v>
      </c>
      <c r="K26" s="332" t="s">
        <v>317</v>
      </c>
      <c r="L26" s="330"/>
      <c r="M26" s="330"/>
      <c r="N26" s="299"/>
      <c r="O26" s="299"/>
    </row>
    <row r="27" spans="2:15" ht="15.75">
      <c r="B27" s="105"/>
      <c r="D27" s="105"/>
      <c r="K27" s="332"/>
      <c r="L27" s="330"/>
      <c r="M27" s="330"/>
      <c r="N27" s="299"/>
      <c r="O27" s="299"/>
    </row>
    <row r="28" spans="2:15" ht="16.5" thickBot="1">
      <c r="B28" s="104" t="s">
        <v>190</v>
      </c>
      <c r="C28" s="23" t="s">
        <v>175</v>
      </c>
      <c r="D28" s="104" t="s">
        <v>191</v>
      </c>
      <c r="E28" s="23" t="s">
        <v>178</v>
      </c>
      <c r="F28" s="23">
        <v>-1</v>
      </c>
      <c r="G28" s="23" t="s">
        <v>182</v>
      </c>
      <c r="H28" s="23">
        <v>-1</v>
      </c>
      <c r="K28" s="332" t="s">
        <v>333</v>
      </c>
      <c r="L28" s="330"/>
      <c r="M28" s="330"/>
      <c r="N28" s="299"/>
      <c r="O28" s="299"/>
    </row>
    <row r="29" spans="2:15" ht="15.75">
      <c r="B29" s="105" t="s">
        <v>192</v>
      </c>
      <c r="D29" s="105" t="s">
        <v>193</v>
      </c>
      <c r="K29" s="299">
        <v>1</v>
      </c>
      <c r="L29" s="299" t="s">
        <v>157</v>
      </c>
      <c r="M29" s="299">
        <v>-7</v>
      </c>
      <c r="N29" s="299"/>
      <c r="O29" s="299"/>
    </row>
    <row r="30" spans="2:15" ht="15.75">
      <c r="B30" s="105"/>
      <c r="D30" s="105"/>
      <c r="K30" s="299"/>
      <c r="L30" s="299" t="s">
        <v>157</v>
      </c>
      <c r="M30" s="299">
        <v>-7</v>
      </c>
      <c r="N30" s="299"/>
      <c r="O30" s="299" t="s">
        <v>304</v>
      </c>
    </row>
    <row r="31" spans="2:8" ht="16.5" thickBot="1">
      <c r="B31" s="104" t="s">
        <v>183</v>
      </c>
      <c r="C31" s="23" t="s">
        <v>175</v>
      </c>
      <c r="D31" s="104" t="s">
        <v>184</v>
      </c>
      <c r="E31" s="23" t="s">
        <v>178</v>
      </c>
      <c r="F31" s="23" t="s">
        <v>185</v>
      </c>
      <c r="G31" s="23" t="s">
        <v>182</v>
      </c>
      <c r="H31" s="23">
        <v>2</v>
      </c>
    </row>
    <row r="32" spans="2:15" ht="15.75">
      <c r="B32" s="105" t="s">
        <v>186</v>
      </c>
      <c r="D32" s="105">
        <v>2</v>
      </c>
      <c r="K32" s="324" t="s">
        <v>5</v>
      </c>
      <c r="L32" s="325" t="s">
        <v>6</v>
      </c>
      <c r="M32" s="325" t="s">
        <v>7</v>
      </c>
      <c r="N32" s="326"/>
      <c r="O32" s="327"/>
    </row>
    <row r="33" spans="11:15" ht="15.75">
      <c r="K33" s="328">
        <v>2</v>
      </c>
      <c r="L33" s="329">
        <v>6</v>
      </c>
      <c r="M33" s="329">
        <v>4</v>
      </c>
      <c r="N33" s="330"/>
      <c r="O33" s="331"/>
    </row>
    <row r="34" spans="2:15" ht="16.5" thickBot="1">
      <c r="B34" s="104" t="s">
        <v>193</v>
      </c>
      <c r="C34" s="23" t="s">
        <v>175</v>
      </c>
      <c r="D34" s="104">
        <v>1</v>
      </c>
      <c r="E34" s="23" t="s">
        <v>178</v>
      </c>
      <c r="F34" s="23" t="s">
        <v>201</v>
      </c>
      <c r="G34" s="23" t="s">
        <v>182</v>
      </c>
      <c r="K34" s="332"/>
      <c r="L34" s="330"/>
      <c r="M34" s="330"/>
      <c r="N34" s="330"/>
      <c r="O34" s="331"/>
    </row>
    <row r="35" spans="2:15" ht="16.5" thickBot="1">
      <c r="B35" s="105" t="s">
        <v>200</v>
      </c>
      <c r="D35" s="105" t="s">
        <v>191</v>
      </c>
      <c r="K35" s="333" t="s">
        <v>5</v>
      </c>
      <c r="L35" s="330" t="s">
        <v>309</v>
      </c>
      <c r="M35" s="300" t="s">
        <v>6</v>
      </c>
      <c r="N35" s="330" t="s">
        <v>42</v>
      </c>
      <c r="O35" s="334" t="s">
        <v>7</v>
      </c>
    </row>
    <row r="36" spans="2:15" ht="15.75">
      <c r="B36" s="105"/>
      <c r="D36" s="105"/>
      <c r="K36" s="332" t="s">
        <v>311</v>
      </c>
      <c r="L36" s="330"/>
      <c r="M36" s="330" t="s">
        <v>312</v>
      </c>
      <c r="N36" s="330"/>
      <c r="O36" s="331" t="s">
        <v>314</v>
      </c>
    </row>
    <row r="37" spans="2:15" ht="16.5" thickBot="1">
      <c r="B37" s="104" t="s">
        <v>204</v>
      </c>
      <c r="C37" s="23" t="s">
        <v>175</v>
      </c>
      <c r="D37" s="104" t="s">
        <v>205</v>
      </c>
      <c r="E37" s="23" t="s">
        <v>178</v>
      </c>
      <c r="F37" s="23" t="s">
        <v>206</v>
      </c>
      <c r="G37" s="23" t="s">
        <v>182</v>
      </c>
      <c r="H37" s="23" t="s">
        <v>207</v>
      </c>
      <c r="K37" s="332" t="s">
        <v>310</v>
      </c>
      <c r="L37" s="330"/>
      <c r="M37" s="330" t="s">
        <v>313</v>
      </c>
      <c r="N37" s="330"/>
      <c r="O37" s="331" t="s">
        <v>315</v>
      </c>
    </row>
    <row r="38" spans="2:15" ht="15.75">
      <c r="B38" s="105" t="s">
        <v>192</v>
      </c>
      <c r="D38" s="105">
        <v>4</v>
      </c>
      <c r="K38" s="332"/>
      <c r="L38" s="330"/>
      <c r="M38" s="330"/>
      <c r="N38" s="330"/>
      <c r="O38" s="331"/>
    </row>
    <row r="39" spans="2:15" ht="15.75">
      <c r="B39" s="105"/>
      <c r="D39" s="105"/>
      <c r="K39" s="332" t="s">
        <v>316</v>
      </c>
      <c r="L39" s="330"/>
      <c r="M39" s="330"/>
      <c r="N39" s="330"/>
      <c r="O39" s="331"/>
    </row>
    <row r="40" spans="2:15" ht="16.5" thickBot="1">
      <c r="B40" s="104" t="s">
        <v>204</v>
      </c>
      <c r="C40" s="23" t="s">
        <v>175</v>
      </c>
      <c r="D40" s="104" t="s">
        <v>205</v>
      </c>
      <c r="E40" s="23" t="s">
        <v>178</v>
      </c>
      <c r="F40" s="23">
        <v>-15</v>
      </c>
      <c r="G40" s="23" t="s">
        <v>182</v>
      </c>
      <c r="H40" s="23" t="s">
        <v>207</v>
      </c>
      <c r="K40" s="332"/>
      <c r="L40" s="330"/>
      <c r="M40" s="330"/>
      <c r="N40" s="330"/>
      <c r="O40" s="331"/>
    </row>
    <row r="41" spans="2:15" ht="15.75">
      <c r="B41" s="105">
        <v>2</v>
      </c>
      <c r="D41" s="105">
        <v>4</v>
      </c>
      <c r="K41" s="332" t="s">
        <v>317</v>
      </c>
      <c r="L41" s="330"/>
      <c r="M41" s="330"/>
      <c r="N41" s="330"/>
      <c r="O41" s="331"/>
    </row>
    <row r="42" spans="11:15" ht="15.75">
      <c r="K42" s="332"/>
      <c r="L42" s="330"/>
      <c r="M42" s="330"/>
      <c r="N42" s="330"/>
      <c r="O42" s="331"/>
    </row>
    <row r="43" spans="11:15" ht="15.75">
      <c r="K43" s="332" t="s">
        <v>333</v>
      </c>
      <c r="L43" s="330"/>
      <c r="M43" s="330"/>
      <c r="N43" s="330"/>
      <c r="O43" s="331"/>
    </row>
    <row r="44" spans="2:15" ht="15.75">
      <c r="B44" s="138"/>
      <c r="C44" s="2"/>
      <c r="D44" s="138"/>
      <c r="E44" s="2"/>
      <c r="F44" s="2"/>
      <c r="G44" s="2"/>
      <c r="H44" s="2"/>
      <c r="K44" s="332">
        <f>K33+L33-M33</f>
        <v>4</v>
      </c>
      <c r="L44" s="330" t="s">
        <v>157</v>
      </c>
      <c r="M44" s="330">
        <f>-3*K33+L33+M33</f>
        <v>4</v>
      </c>
      <c r="N44" s="330"/>
      <c r="O44" s="331"/>
    </row>
    <row r="45" spans="2:15" ht="16.5" thickBot="1">
      <c r="B45" s="138"/>
      <c r="C45" s="2"/>
      <c r="D45" s="138"/>
      <c r="E45" s="2"/>
      <c r="F45" s="2"/>
      <c r="G45" s="2"/>
      <c r="H45" s="2"/>
      <c r="K45" s="333"/>
      <c r="L45" s="300" t="s">
        <v>157</v>
      </c>
      <c r="M45" s="300">
        <f>M44/K44</f>
        <v>1</v>
      </c>
      <c r="N45" s="300"/>
      <c r="O45" s="334" t="s">
        <v>243</v>
      </c>
    </row>
    <row r="46" spans="2:8" ht="15.75">
      <c r="B46" s="2"/>
      <c r="C46" s="2"/>
      <c r="D46" s="2"/>
      <c r="E46" s="2"/>
      <c r="F46" s="2"/>
      <c r="G46" s="2"/>
      <c r="H46" s="2"/>
    </row>
    <row r="47" spans="2:8" ht="15.75">
      <c r="B47" s="138"/>
      <c r="C47" s="2"/>
      <c r="D47" s="138"/>
      <c r="E47" s="2"/>
      <c r="F47" s="2"/>
      <c r="G47" s="2"/>
      <c r="H47" s="2"/>
    </row>
    <row r="48" spans="2:8" ht="15.75">
      <c r="B48" s="138"/>
      <c r="C48" s="2"/>
      <c r="D48" s="138"/>
      <c r="E48" s="2"/>
      <c r="F48" s="2"/>
      <c r="G48" s="2"/>
      <c r="H48" s="2"/>
    </row>
    <row r="49" spans="2:8" ht="15.75">
      <c r="B49" s="2"/>
      <c r="C49" s="2"/>
      <c r="D49" s="2"/>
      <c r="E49" s="2"/>
      <c r="F49" s="2"/>
      <c r="G49" s="2"/>
      <c r="H49" s="2"/>
    </row>
    <row r="50" spans="2:8" ht="15.75">
      <c r="B50" s="138"/>
      <c r="C50" s="2"/>
      <c r="D50" s="138"/>
      <c r="E50" s="2"/>
      <c r="F50" s="2"/>
      <c r="G50" s="2"/>
      <c r="H50" s="2"/>
    </row>
    <row r="51" spans="2:8" ht="15.75">
      <c r="B51" s="138"/>
      <c r="C51" s="2"/>
      <c r="D51" s="138"/>
      <c r="E51" s="2"/>
      <c r="F51" s="2"/>
      <c r="G51" s="2"/>
      <c r="H51" s="2"/>
    </row>
    <row r="52" spans="2:8" ht="15.75">
      <c r="B52" s="2"/>
      <c r="C52" s="2"/>
      <c r="D52" s="2"/>
      <c r="E52" s="2"/>
      <c r="F52" s="2"/>
      <c r="G52" s="2"/>
      <c r="H52" s="2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P33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9.140625" style="336" customWidth="1"/>
    <col min="2" max="2" width="3.57421875" style="336" customWidth="1"/>
    <col min="3" max="5" width="9.140625" style="336" customWidth="1"/>
    <col min="6" max="6" width="7.00390625" style="336" customWidth="1"/>
    <col min="7" max="7" width="7.57421875" style="336" customWidth="1"/>
    <col min="8" max="8" width="7.8515625" style="336" customWidth="1"/>
    <col min="9" max="9" width="9.140625" style="336" customWidth="1"/>
    <col min="10" max="10" width="11.140625" style="336" customWidth="1"/>
    <col min="11" max="12" width="9.140625" style="336" customWidth="1"/>
    <col min="13" max="13" width="11.421875" style="336" customWidth="1"/>
    <col min="14" max="15" width="9.140625" style="336" customWidth="1"/>
    <col min="16" max="16" width="2.57421875" style="336" customWidth="1"/>
    <col min="17" max="16384" width="9.140625" style="336" customWidth="1"/>
  </cols>
  <sheetData>
    <row r="2" spans="3:8" ht="15.75">
      <c r="C2" s="536" t="s">
        <v>491</v>
      </c>
      <c r="D2" s="536"/>
      <c r="E2" s="536"/>
      <c r="F2" s="536"/>
      <c r="G2" s="536"/>
      <c r="H2" s="535"/>
    </row>
    <row r="4" spans="2:16" ht="13.5" thickBot="1">
      <c r="B4" s="348"/>
      <c r="C4" s="350"/>
      <c r="D4" s="350"/>
      <c r="E4" s="350"/>
      <c r="F4" s="350"/>
      <c r="G4" s="350"/>
      <c r="H4" s="351"/>
      <c r="I4" s="351"/>
      <c r="J4" s="349"/>
      <c r="K4" s="351"/>
      <c r="L4" s="350"/>
      <c r="M4" s="350"/>
      <c r="N4" s="350"/>
      <c r="O4" s="350"/>
      <c r="P4" s="351"/>
    </row>
    <row r="5" spans="2:16" ht="12.75">
      <c r="B5" s="348"/>
      <c r="C5" s="339" t="s">
        <v>343</v>
      </c>
      <c r="D5" s="350"/>
      <c r="E5" s="350"/>
      <c r="F5" s="350"/>
      <c r="G5" s="339" t="s">
        <v>344</v>
      </c>
      <c r="H5" s="350"/>
      <c r="I5" s="351" t="s">
        <v>359</v>
      </c>
      <c r="J5" s="349"/>
      <c r="K5" s="339" t="s">
        <v>345</v>
      </c>
      <c r="L5" s="350"/>
      <c r="M5" s="350"/>
      <c r="N5" s="350"/>
      <c r="O5" s="339" t="s">
        <v>346</v>
      </c>
      <c r="P5" s="351"/>
    </row>
    <row r="6" spans="2:16" ht="13.5" thickBot="1">
      <c r="B6" s="348"/>
      <c r="C6" s="529">
        <v>4</v>
      </c>
      <c r="D6" s="350"/>
      <c r="E6" s="350"/>
      <c r="F6" s="350"/>
      <c r="G6" s="529">
        <v>6</v>
      </c>
      <c r="H6" s="350"/>
      <c r="I6" s="351"/>
      <c r="J6" s="349"/>
      <c r="K6" s="533">
        <f>(C6-G6)^2</f>
        <v>4</v>
      </c>
      <c r="L6" s="350"/>
      <c r="M6" s="350"/>
      <c r="N6" s="350"/>
      <c r="O6" s="533">
        <f>SQRT(K6)</f>
        <v>2</v>
      </c>
      <c r="P6" s="351"/>
    </row>
    <row r="7" spans="2:16" ht="13.5" thickBot="1">
      <c r="B7" s="349"/>
      <c r="C7" s="350"/>
      <c r="D7" s="350"/>
      <c r="E7" s="350"/>
      <c r="F7" s="350"/>
      <c r="G7" s="350"/>
      <c r="H7" s="350"/>
      <c r="I7" s="351"/>
      <c r="J7" s="349"/>
      <c r="K7" s="351"/>
      <c r="L7" s="350"/>
      <c r="M7" s="350"/>
      <c r="N7" s="350"/>
      <c r="O7" s="352"/>
      <c r="P7" s="351"/>
    </row>
    <row r="8" spans="2:16" ht="12.75">
      <c r="B8" s="350"/>
      <c r="C8" s="340" t="s">
        <v>343</v>
      </c>
      <c r="D8" s="341" t="s">
        <v>347</v>
      </c>
      <c r="E8" s="350"/>
      <c r="F8" s="350"/>
      <c r="G8" s="340" t="s">
        <v>344</v>
      </c>
      <c r="H8" s="341" t="s">
        <v>348</v>
      </c>
      <c r="I8" s="351"/>
      <c r="J8" s="349"/>
      <c r="K8" s="339" t="s">
        <v>345</v>
      </c>
      <c r="L8" s="339" t="s">
        <v>349</v>
      </c>
      <c r="M8" s="350"/>
      <c r="N8" s="350"/>
      <c r="O8" s="339" t="s">
        <v>346</v>
      </c>
      <c r="P8" s="351"/>
    </row>
    <row r="9" spans="2:16" ht="13.5" thickBot="1">
      <c r="B9" s="350"/>
      <c r="C9" s="530">
        <v>-3</v>
      </c>
      <c r="D9" s="531">
        <v>4</v>
      </c>
      <c r="E9" s="350"/>
      <c r="F9" s="350"/>
      <c r="G9" s="530">
        <v>9</v>
      </c>
      <c r="H9" s="531">
        <v>3</v>
      </c>
      <c r="I9" s="351"/>
      <c r="J9" s="349"/>
      <c r="K9" s="533">
        <f>(C9-G9)^2</f>
        <v>144</v>
      </c>
      <c r="L9" s="533">
        <f>(D9-H9)^2</f>
        <v>1</v>
      </c>
      <c r="M9" s="350"/>
      <c r="N9" s="350"/>
      <c r="O9" s="533">
        <f>SQRT(K9+L9)</f>
        <v>12.041594578792296</v>
      </c>
      <c r="P9" s="351"/>
    </row>
    <row r="10" spans="2:16" ht="13.5" thickBot="1">
      <c r="B10" s="350"/>
      <c r="C10" s="350"/>
      <c r="D10" s="350"/>
      <c r="E10" s="350"/>
      <c r="F10" s="350"/>
      <c r="G10" s="350"/>
      <c r="H10" s="351"/>
      <c r="I10" s="351"/>
      <c r="J10" s="349"/>
      <c r="K10" s="351"/>
      <c r="L10" s="350"/>
      <c r="M10" s="350"/>
      <c r="N10" s="350"/>
      <c r="O10" s="352"/>
      <c r="P10" s="350"/>
    </row>
    <row r="11" spans="2:16" ht="12.75">
      <c r="B11" s="350"/>
      <c r="C11" s="340" t="s">
        <v>343</v>
      </c>
      <c r="D11" s="342" t="s">
        <v>347</v>
      </c>
      <c r="E11" s="341" t="s">
        <v>350</v>
      </c>
      <c r="F11" s="350"/>
      <c r="G11" s="340" t="s">
        <v>344</v>
      </c>
      <c r="H11" s="342" t="s">
        <v>348</v>
      </c>
      <c r="I11" s="341" t="s">
        <v>351</v>
      </c>
      <c r="J11" s="349"/>
      <c r="K11" s="339" t="s">
        <v>345</v>
      </c>
      <c r="L11" s="339" t="s">
        <v>349</v>
      </c>
      <c r="M11" s="339" t="s">
        <v>352</v>
      </c>
      <c r="N11" s="350"/>
      <c r="O11" s="339" t="s">
        <v>346</v>
      </c>
      <c r="P11" s="351"/>
    </row>
    <row r="12" spans="2:16" ht="13.5" thickBot="1">
      <c r="B12" s="350"/>
      <c r="C12" s="530">
        <v>2</v>
      </c>
      <c r="D12" s="532">
        <v>4</v>
      </c>
      <c r="E12" s="531">
        <v>-4</v>
      </c>
      <c r="F12" s="350"/>
      <c r="G12" s="530">
        <v>0</v>
      </c>
      <c r="H12" s="532">
        <v>1</v>
      </c>
      <c r="I12" s="531">
        <v>-5</v>
      </c>
      <c r="J12" s="349"/>
      <c r="K12" s="533">
        <f>(C12-G12)^2</f>
        <v>4</v>
      </c>
      <c r="L12" s="533">
        <f>(D12-H12)^2</f>
        <v>9</v>
      </c>
      <c r="M12" s="533">
        <f>(E12-I12)^2</f>
        <v>1</v>
      </c>
      <c r="N12" s="350"/>
      <c r="O12" s="533">
        <f>SQRT(K12+L12+M12)</f>
        <v>3.7416573867739413</v>
      </c>
      <c r="P12" s="351"/>
    </row>
    <row r="13" spans="2:16" ht="12.75">
      <c r="B13" s="350"/>
      <c r="C13" s="351"/>
      <c r="D13" s="351"/>
      <c r="E13" s="351"/>
      <c r="F13" s="351"/>
      <c r="G13" s="351"/>
      <c r="H13" s="350"/>
      <c r="I13" s="350"/>
      <c r="J13" s="350"/>
      <c r="K13" s="350"/>
      <c r="L13" s="350"/>
      <c r="M13" s="350"/>
      <c r="N13" s="350"/>
      <c r="O13" s="351"/>
      <c r="P13" s="349"/>
    </row>
    <row r="14" spans="2:16" s="347" customFormat="1" ht="12.75">
      <c r="B14" s="344"/>
      <c r="C14" s="345"/>
      <c r="D14" s="345"/>
      <c r="E14" s="345"/>
      <c r="F14" s="345"/>
      <c r="G14" s="345"/>
      <c r="H14" s="344"/>
      <c r="I14" s="344"/>
      <c r="J14" s="344"/>
      <c r="K14" s="344"/>
      <c r="L14" s="344"/>
      <c r="M14" s="344"/>
      <c r="N14" s="344"/>
      <c r="O14" s="345"/>
      <c r="P14" s="346"/>
    </row>
    <row r="15" spans="2:16" ht="12.75">
      <c r="B15" s="350"/>
      <c r="C15" s="351"/>
      <c r="D15" s="351"/>
      <c r="E15" s="351"/>
      <c r="F15" s="351"/>
      <c r="G15" s="351"/>
      <c r="H15" s="350"/>
      <c r="I15" s="350"/>
      <c r="J15" s="350"/>
      <c r="K15" s="350"/>
      <c r="L15" s="350"/>
      <c r="M15" s="350"/>
      <c r="N15" s="350"/>
      <c r="O15" s="351"/>
      <c r="P15" s="349"/>
    </row>
    <row r="16" spans="2:16" ht="13.5" thickBot="1">
      <c r="B16" s="350"/>
      <c r="C16" s="351"/>
      <c r="D16" s="351"/>
      <c r="E16" s="351"/>
      <c r="F16" s="351"/>
      <c r="G16" s="351"/>
      <c r="H16" s="350"/>
      <c r="I16" s="350" t="s">
        <v>360</v>
      </c>
      <c r="J16" s="350"/>
      <c r="K16" s="350"/>
      <c r="L16" s="350" t="s">
        <v>358</v>
      </c>
      <c r="M16" s="350"/>
      <c r="N16" s="350" t="s">
        <v>354</v>
      </c>
      <c r="O16" s="350"/>
      <c r="P16" s="349"/>
    </row>
    <row r="17" spans="2:16" ht="12.75">
      <c r="B17" s="350"/>
      <c r="C17" s="340" t="s">
        <v>343</v>
      </c>
      <c r="D17" s="341" t="s">
        <v>347</v>
      </c>
      <c r="E17" s="350"/>
      <c r="F17" s="340" t="s">
        <v>344</v>
      </c>
      <c r="G17" s="341" t="s">
        <v>348</v>
      </c>
      <c r="H17" s="351"/>
      <c r="I17" s="339" t="s">
        <v>345</v>
      </c>
      <c r="J17" s="339" t="s">
        <v>349</v>
      </c>
      <c r="K17" s="337"/>
      <c r="L17" s="343" t="s">
        <v>357</v>
      </c>
      <c r="M17" s="337"/>
      <c r="N17" s="339" t="s">
        <v>355</v>
      </c>
      <c r="O17" s="339" t="s">
        <v>356</v>
      </c>
      <c r="P17" s="349"/>
    </row>
    <row r="18" spans="2:16" ht="13.5" thickBot="1">
      <c r="B18" s="350"/>
      <c r="C18" s="530">
        <v>-3</v>
      </c>
      <c r="D18" s="531">
        <v>-2</v>
      </c>
      <c r="E18" s="350"/>
      <c r="F18" s="530">
        <v>1</v>
      </c>
      <c r="G18" s="531">
        <v>-2</v>
      </c>
      <c r="H18" s="351"/>
      <c r="I18" s="533">
        <f>(C21-F18)^2</f>
        <v>1</v>
      </c>
      <c r="J18" s="533">
        <f>(D21-G18)^2</f>
        <v>4</v>
      </c>
      <c r="K18" s="350"/>
      <c r="L18" s="533">
        <f>SQRT((C18-F18)^2+(D18-G18)^2)</f>
        <v>4</v>
      </c>
      <c r="M18" s="350"/>
      <c r="N18" s="533">
        <f>(C18+F18)/2</f>
        <v>-1</v>
      </c>
      <c r="O18" s="533">
        <f>(D18+G18)/2</f>
        <v>-2</v>
      </c>
      <c r="P18" s="349"/>
    </row>
    <row r="19" spans="2:16" ht="12.75">
      <c r="B19" s="350"/>
      <c r="C19" s="351"/>
      <c r="D19" s="351"/>
      <c r="E19" s="351"/>
      <c r="F19" s="351"/>
      <c r="G19" s="351"/>
      <c r="H19" s="350"/>
      <c r="I19" s="350"/>
      <c r="J19" s="350"/>
      <c r="K19" s="350"/>
      <c r="L19" s="350"/>
      <c r="M19" s="350"/>
      <c r="N19" s="350"/>
      <c r="O19" s="351"/>
      <c r="P19" s="349"/>
    </row>
    <row r="21" spans="2:16" ht="13.5" thickBot="1">
      <c r="B21" s="350"/>
      <c r="C21" s="351"/>
      <c r="D21" s="351"/>
      <c r="E21" s="351"/>
      <c r="F21" s="351"/>
      <c r="G21" s="351"/>
      <c r="H21" s="350"/>
      <c r="I21" s="350"/>
      <c r="J21" s="350" t="s">
        <v>363</v>
      </c>
      <c r="K21" s="350"/>
      <c r="L21" s="350" t="s">
        <v>367</v>
      </c>
      <c r="M21" s="350"/>
      <c r="N21" s="350"/>
      <c r="O21" s="351"/>
      <c r="P21" s="348"/>
    </row>
    <row r="22" spans="2:16" ht="13.5" thickBot="1">
      <c r="B22" s="350"/>
      <c r="C22" s="351"/>
      <c r="D22" s="351"/>
      <c r="E22" s="351"/>
      <c r="F22" s="351"/>
      <c r="G22" s="351"/>
      <c r="H22" s="350"/>
      <c r="I22" s="353" t="s">
        <v>361</v>
      </c>
      <c r="J22" s="534">
        <f>D24-G24</f>
        <v>0</v>
      </c>
      <c r="K22" s="350"/>
      <c r="L22" s="534">
        <f>G24-D24</f>
        <v>0</v>
      </c>
      <c r="M22" s="350"/>
      <c r="N22" s="350"/>
      <c r="O22" s="350"/>
      <c r="P22" s="348"/>
    </row>
    <row r="23" spans="2:16" ht="13.5" thickBot="1">
      <c r="B23" s="350"/>
      <c r="C23" s="340" t="s">
        <v>343</v>
      </c>
      <c r="D23" s="341" t="s">
        <v>347</v>
      </c>
      <c r="E23" s="350"/>
      <c r="F23" s="340" t="s">
        <v>344</v>
      </c>
      <c r="G23" s="341" t="s">
        <v>348</v>
      </c>
      <c r="H23" s="351"/>
      <c r="I23" s="352"/>
      <c r="J23" s="352" t="s">
        <v>365</v>
      </c>
      <c r="K23" s="350"/>
      <c r="L23" s="352" t="s">
        <v>365</v>
      </c>
      <c r="M23" s="350"/>
      <c r="N23" s="352" t="s">
        <v>366</v>
      </c>
      <c r="O23" s="534">
        <f>L22/L24</f>
        <v>0</v>
      </c>
      <c r="P23" s="348"/>
    </row>
    <row r="24" spans="2:16" ht="13.5" thickBot="1">
      <c r="B24" s="350"/>
      <c r="C24" s="530">
        <v>-3</v>
      </c>
      <c r="D24" s="531">
        <v>-2</v>
      </c>
      <c r="E24" s="350"/>
      <c r="F24" s="530">
        <v>1</v>
      </c>
      <c r="G24" s="531">
        <v>-2</v>
      </c>
      <c r="H24" s="351"/>
      <c r="I24" s="353" t="s">
        <v>362</v>
      </c>
      <c r="J24" s="534">
        <f>C24-F24</f>
        <v>-4</v>
      </c>
      <c r="K24" s="350"/>
      <c r="L24" s="534">
        <f>F24-C24</f>
        <v>4</v>
      </c>
      <c r="M24" s="350"/>
      <c r="N24" s="352"/>
      <c r="O24" s="352"/>
      <c r="P24" s="348"/>
    </row>
    <row r="25" spans="2:16" ht="12.75">
      <c r="B25" s="350"/>
      <c r="C25" s="351"/>
      <c r="D25" s="351"/>
      <c r="E25" s="351"/>
      <c r="F25" s="351"/>
      <c r="G25" s="351"/>
      <c r="H25" s="350"/>
      <c r="I25" s="350"/>
      <c r="J25" s="350" t="s">
        <v>364</v>
      </c>
      <c r="K25" s="350"/>
      <c r="L25" s="350" t="s">
        <v>368</v>
      </c>
      <c r="M25" s="350"/>
      <c r="N25" s="350"/>
      <c r="O25" s="351"/>
      <c r="P25" s="348"/>
    </row>
    <row r="33" ht="12.75">
      <c r="C33" s="338" t="s">
        <v>353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22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2.140625" style="0" customWidth="1"/>
    <col min="4" max="4" width="8.00390625" style="0" customWidth="1"/>
    <col min="5" max="5" width="6.7109375" style="0" customWidth="1"/>
    <col min="6" max="6" width="5.421875" style="0" customWidth="1"/>
    <col min="10" max="10" width="9.421875" style="0" customWidth="1"/>
    <col min="11" max="11" width="5.421875" style="0" customWidth="1"/>
    <col min="15" max="15" width="3.57421875" style="0" customWidth="1"/>
    <col min="17" max="17" width="10.28125" style="0" customWidth="1"/>
  </cols>
  <sheetData>
    <row r="1" ht="13.5" thickBot="1"/>
    <row r="2" spans="3:16" ht="26.25" thickBot="1">
      <c r="C2" s="245" t="s">
        <v>289</v>
      </c>
      <c r="D2" s="246"/>
      <c r="E2" s="246"/>
      <c r="F2" s="246"/>
      <c r="G2" s="246"/>
      <c r="H2" s="246"/>
      <c r="I2" s="246"/>
      <c r="J2" s="246"/>
      <c r="K2" s="230"/>
      <c r="L2" s="230"/>
      <c r="M2" s="230"/>
      <c r="N2" s="230"/>
      <c r="O2" s="230"/>
      <c r="P2" s="247"/>
    </row>
    <row r="3" spans="1:20" ht="15.75">
      <c r="A3" s="199"/>
      <c r="B3" s="24" t="s">
        <v>11</v>
      </c>
      <c r="C3" s="196"/>
      <c r="D3" s="196"/>
      <c r="E3" s="196"/>
      <c r="F3" s="196"/>
      <c r="G3" s="35" t="s">
        <v>12</v>
      </c>
      <c r="H3" s="244"/>
      <c r="I3" s="244"/>
      <c r="J3" s="244"/>
      <c r="K3" s="196"/>
      <c r="L3" s="37" t="s">
        <v>13</v>
      </c>
      <c r="M3" s="196"/>
      <c r="N3" s="196"/>
      <c r="O3" s="196"/>
      <c r="P3" s="38" t="s">
        <v>14</v>
      </c>
      <c r="Q3" s="196"/>
      <c r="R3" s="196"/>
      <c r="S3" s="196"/>
      <c r="T3" s="196"/>
    </row>
    <row r="4" spans="1:20" ht="16.5" thickBot="1">
      <c r="A4" s="199"/>
      <c r="B4" s="34" t="s">
        <v>19</v>
      </c>
      <c r="C4" s="21" t="s">
        <v>15</v>
      </c>
      <c r="D4" s="21" t="s">
        <v>16</v>
      </c>
      <c r="E4" s="21" t="s">
        <v>17</v>
      </c>
      <c r="F4" s="196"/>
      <c r="G4" s="34" t="s">
        <v>19</v>
      </c>
      <c r="H4" s="21" t="s">
        <v>15</v>
      </c>
      <c r="I4" s="21" t="s">
        <v>16</v>
      </c>
      <c r="J4" s="21" t="s">
        <v>17</v>
      </c>
      <c r="K4" s="196"/>
      <c r="L4" s="34" t="s">
        <v>33</v>
      </c>
      <c r="M4" s="21" t="s">
        <v>18</v>
      </c>
      <c r="N4" s="21" t="s">
        <v>17</v>
      </c>
      <c r="O4" s="196"/>
      <c r="P4" s="34" t="s">
        <v>33</v>
      </c>
      <c r="Q4" s="21" t="s">
        <v>18</v>
      </c>
      <c r="R4" s="21" t="s">
        <v>17</v>
      </c>
      <c r="S4" s="196"/>
      <c r="T4" s="196"/>
    </row>
    <row r="5" spans="1:20" ht="16.5" thickBot="1">
      <c r="A5" s="199"/>
      <c r="B5" s="392">
        <v>800</v>
      </c>
      <c r="C5" s="56">
        <f>B5/D5/E5</f>
        <v>8</v>
      </c>
      <c r="D5" s="537">
        <v>10</v>
      </c>
      <c r="E5" s="537">
        <v>10</v>
      </c>
      <c r="F5" s="196"/>
      <c r="G5" s="392">
        <v>250</v>
      </c>
      <c r="H5" s="537">
        <v>25</v>
      </c>
      <c r="I5" s="537">
        <v>3</v>
      </c>
      <c r="J5" s="57">
        <f>G5*3/H5/I5</f>
        <v>10</v>
      </c>
      <c r="K5" s="196"/>
      <c r="L5" s="392">
        <v>113</v>
      </c>
      <c r="M5" s="392">
        <v>3</v>
      </c>
      <c r="N5" s="58">
        <f>L5/M5^2/PI()</f>
        <v>3.9965574598631495</v>
      </c>
      <c r="O5" s="196"/>
      <c r="P5" s="392">
        <v>339</v>
      </c>
      <c r="Q5" s="392">
        <v>9</v>
      </c>
      <c r="R5" s="59">
        <f>P5*3/Q5/Q5/PI()</f>
        <v>3.9965574598631495</v>
      </c>
      <c r="S5" s="196"/>
      <c r="T5" s="196"/>
    </row>
    <row r="6" spans="1:20" ht="16.5" thickBot="1">
      <c r="A6" s="199"/>
      <c r="B6" s="56">
        <f>C6*D6*E6</f>
        <v>48</v>
      </c>
      <c r="C6" s="537">
        <v>4</v>
      </c>
      <c r="D6" s="537">
        <v>4</v>
      </c>
      <c r="E6" s="537">
        <v>3</v>
      </c>
      <c r="F6" s="196"/>
      <c r="G6" s="392">
        <v>250</v>
      </c>
      <c r="H6" s="57">
        <f>G6*3/I6/J6</f>
        <v>5.208333333333333</v>
      </c>
      <c r="I6" s="537">
        <v>36</v>
      </c>
      <c r="J6" s="537">
        <v>4</v>
      </c>
      <c r="K6" s="196"/>
      <c r="L6" s="392">
        <v>113</v>
      </c>
      <c r="M6" s="58">
        <f>SQRT(L6/N6/PI())</f>
        <v>2.998708769569344</v>
      </c>
      <c r="N6" s="392">
        <v>4</v>
      </c>
      <c r="O6" s="196"/>
      <c r="P6" s="392">
        <v>339</v>
      </c>
      <c r="Q6" s="59">
        <f>SQRT(P6*3/PI()/R6)</f>
        <v>8.99612630870803</v>
      </c>
      <c r="R6" s="392">
        <v>4</v>
      </c>
      <c r="S6" s="196"/>
      <c r="T6" s="196"/>
    </row>
    <row r="7" spans="1:20" ht="16.5" thickBot="1">
      <c r="A7" s="199"/>
      <c r="B7" s="196"/>
      <c r="C7" s="196"/>
      <c r="D7" s="196"/>
      <c r="E7" s="196"/>
      <c r="F7" s="196"/>
      <c r="G7" s="57">
        <f>H7*I7*J7/3</f>
        <v>8</v>
      </c>
      <c r="H7" s="537">
        <v>4</v>
      </c>
      <c r="I7" s="537">
        <v>2</v>
      </c>
      <c r="J7" s="537">
        <v>3</v>
      </c>
      <c r="K7" s="196"/>
      <c r="L7" s="58">
        <f>M7*M7*N7*PI()</f>
        <v>113.09733552923255</v>
      </c>
      <c r="M7" s="537">
        <v>3</v>
      </c>
      <c r="N7" s="537">
        <v>4</v>
      </c>
      <c r="O7" s="196"/>
      <c r="P7" s="59">
        <f>Q7*Q7*R7*PI()/3</f>
        <v>16.755160819145562</v>
      </c>
      <c r="Q7" s="537">
        <v>2</v>
      </c>
      <c r="R7" s="537">
        <v>4</v>
      </c>
      <c r="S7" s="196"/>
      <c r="T7" s="196"/>
    </row>
    <row r="8" spans="1:20" ht="15.75">
      <c r="A8" s="199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</row>
    <row r="9" spans="2:20" ht="15.7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2:20" ht="16.5" thickBot="1">
      <c r="B10" s="69" t="s">
        <v>32</v>
      </c>
      <c r="C10" s="34"/>
      <c r="D10" s="69" t="s">
        <v>24</v>
      </c>
      <c r="E10" s="34"/>
      <c r="F10" s="34"/>
      <c r="G10" s="70" t="s">
        <v>25</v>
      </c>
      <c r="H10" s="34"/>
      <c r="I10" s="34"/>
      <c r="J10" s="34"/>
      <c r="K10" s="34"/>
      <c r="L10" s="37" t="s">
        <v>26</v>
      </c>
      <c r="M10" s="34"/>
      <c r="N10" s="34"/>
      <c r="O10" s="34"/>
      <c r="P10" s="335" t="s">
        <v>29</v>
      </c>
      <c r="Q10" s="335" t="s">
        <v>31</v>
      </c>
      <c r="R10" s="335" t="s">
        <v>22</v>
      </c>
      <c r="S10" s="335" t="s">
        <v>30</v>
      </c>
      <c r="T10" s="3"/>
    </row>
    <row r="11" spans="2:20" ht="15.75">
      <c r="B11" s="23" t="s">
        <v>20</v>
      </c>
      <c r="C11" s="23" t="s">
        <v>21</v>
      </c>
      <c r="D11" s="74" t="s">
        <v>22</v>
      </c>
      <c r="E11" s="75" t="s">
        <v>23</v>
      </c>
      <c r="F11" s="34"/>
      <c r="G11" s="55" t="s">
        <v>20</v>
      </c>
      <c r="H11" s="55" t="s">
        <v>21</v>
      </c>
      <c r="I11" s="76" t="s">
        <v>22</v>
      </c>
      <c r="J11" s="34"/>
      <c r="K11" s="55" t="s">
        <v>27</v>
      </c>
      <c r="L11" s="55" t="s">
        <v>28</v>
      </c>
      <c r="M11" s="55" t="s">
        <v>21</v>
      </c>
      <c r="N11" s="76" t="s">
        <v>22</v>
      </c>
      <c r="O11" s="34"/>
      <c r="P11" s="541">
        <v>4</v>
      </c>
      <c r="Q11" s="241">
        <f>P11*2</f>
        <v>8</v>
      </c>
      <c r="R11" s="241">
        <f>PI()*P11^2</f>
        <v>50.26548245743669</v>
      </c>
      <c r="S11" s="241">
        <f>2*PI()*P11</f>
        <v>25.132741228718345</v>
      </c>
      <c r="T11" s="3"/>
    </row>
    <row r="12" spans="2:20" ht="16.5" thickBot="1">
      <c r="B12" s="538">
        <v>2</v>
      </c>
      <c r="C12" s="538">
        <v>4</v>
      </c>
      <c r="D12" s="77">
        <f>B12*C12</f>
        <v>8</v>
      </c>
      <c r="E12" s="78">
        <f>2*(B12+C12)</f>
        <v>12</v>
      </c>
      <c r="F12" s="34"/>
      <c r="G12" s="537">
        <v>12</v>
      </c>
      <c r="H12" s="537">
        <v>40</v>
      </c>
      <c r="I12" s="79">
        <f>G12*H12/2</f>
        <v>240</v>
      </c>
      <c r="J12" s="80"/>
      <c r="K12" s="392">
        <v>1</v>
      </c>
      <c r="L12" s="392">
        <v>7</v>
      </c>
      <c r="M12" s="392">
        <v>4</v>
      </c>
      <c r="N12" s="81">
        <f>(1/2)*(M12)*(K12+L12)</f>
        <v>16</v>
      </c>
      <c r="O12" s="34"/>
      <c r="P12" s="241">
        <f>Q12/2</f>
        <v>4</v>
      </c>
      <c r="Q12" s="541">
        <v>8</v>
      </c>
      <c r="R12" s="241">
        <f>PI()*P12*P12</f>
        <v>50.26548245743669</v>
      </c>
      <c r="S12" s="241">
        <f>PI()*Q12</f>
        <v>25.132741228718345</v>
      </c>
      <c r="T12" s="3"/>
    </row>
    <row r="13" spans="2:20" ht="16.5" thickBot="1">
      <c r="B13" s="538">
        <v>4</v>
      </c>
      <c r="C13" s="84">
        <f>D13/B13</f>
        <v>10</v>
      </c>
      <c r="D13" s="537">
        <v>40</v>
      </c>
      <c r="E13" s="36"/>
      <c r="F13" s="34"/>
      <c r="G13" s="392">
        <v>8</v>
      </c>
      <c r="H13" s="85">
        <f>I13*2/G13</f>
        <v>3</v>
      </c>
      <c r="I13" s="537">
        <v>12</v>
      </c>
      <c r="J13" s="34"/>
      <c r="K13" s="58">
        <f>N13*2/M13-L13</f>
        <v>2</v>
      </c>
      <c r="L13" s="537">
        <v>10</v>
      </c>
      <c r="M13" s="539">
        <v>2</v>
      </c>
      <c r="N13" s="540">
        <v>12</v>
      </c>
      <c r="O13" s="34"/>
      <c r="P13" s="241">
        <f>SQRT(R13/PI())</f>
        <v>3.999980803582467</v>
      </c>
      <c r="Q13" s="241">
        <f>P13*2</f>
        <v>7.999961607164934</v>
      </c>
      <c r="R13" s="542">
        <v>50.265</v>
      </c>
      <c r="S13" s="241">
        <f>PI()*Q13</f>
        <v>25.13262061406975</v>
      </c>
      <c r="T13" s="3"/>
    </row>
    <row r="14" spans="2:20" ht="16.5" thickBot="1">
      <c r="B14" s="538">
        <v>4</v>
      </c>
      <c r="C14" s="84">
        <f>E14/2-B14</f>
        <v>2</v>
      </c>
      <c r="D14" s="36"/>
      <c r="E14" s="537">
        <v>12</v>
      </c>
      <c r="F14" s="34"/>
      <c r="G14" s="34"/>
      <c r="H14" s="34"/>
      <c r="I14" s="36"/>
      <c r="J14" s="34"/>
      <c r="K14" s="537">
        <v>2</v>
      </c>
      <c r="L14" s="537">
        <v>8</v>
      </c>
      <c r="M14" s="89">
        <f>N14*2/(K14+L14)</f>
        <v>2</v>
      </c>
      <c r="N14" s="540">
        <v>10</v>
      </c>
      <c r="O14" s="34"/>
      <c r="P14" s="241">
        <f>S14/PI()/2</f>
        <v>4.000000000203982</v>
      </c>
      <c r="Q14" s="241">
        <f>S14/PI()</f>
        <v>8.000000000407963</v>
      </c>
      <c r="R14" s="241">
        <f>PI()*P14*P14</f>
        <v>50.26548246256331</v>
      </c>
      <c r="S14" s="541">
        <v>25.13274123</v>
      </c>
      <c r="T14" s="34"/>
    </row>
    <row r="15" spans="2:20" ht="15.75">
      <c r="B15" s="93"/>
      <c r="C15" s="93"/>
      <c r="D15" s="36"/>
      <c r="E15" s="36"/>
      <c r="F15" s="34"/>
      <c r="G15" s="34"/>
      <c r="H15" s="34"/>
      <c r="I15" s="36"/>
      <c r="J15" s="34"/>
      <c r="K15" s="36"/>
      <c r="L15" s="36"/>
      <c r="M15" s="94"/>
      <c r="N15" s="80"/>
      <c r="O15" s="34"/>
      <c r="P15" s="36"/>
      <c r="Q15" s="36"/>
      <c r="R15" s="36"/>
      <c r="S15" s="36"/>
      <c r="T15" s="34"/>
    </row>
    <row r="16" spans="2:20" ht="15.7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15.7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2:20" ht="15.7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2:20" ht="15.7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15.7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2:20" ht="15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2:20" ht="15.7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70"/>
  <sheetViews>
    <sheetView tabSelected="1" zoomScalePageLayoutView="0" workbookViewId="0" topLeftCell="A4">
      <selection activeCell="U7" sqref="U7"/>
    </sheetView>
  </sheetViews>
  <sheetFormatPr defaultColWidth="9.140625" defaultRowHeight="12.75"/>
  <cols>
    <col min="1" max="1" width="2.140625" style="0" customWidth="1"/>
    <col min="3" max="3" width="11.00390625" style="0" bestFit="1" customWidth="1"/>
    <col min="4" max="4" width="3.00390625" style="0" customWidth="1"/>
    <col min="6" max="6" width="3.421875" style="0" customWidth="1"/>
    <col min="9" max="9" width="11.8515625" style="0" customWidth="1"/>
    <col min="10" max="10" width="1.28515625" style="0" customWidth="1"/>
    <col min="11" max="11" width="2.00390625" style="0" customWidth="1"/>
    <col min="12" max="12" width="5.7109375" style="0" customWidth="1"/>
    <col min="13" max="13" width="9.421875" style="0" customWidth="1"/>
    <col min="14" max="14" width="7.7109375" style="0" customWidth="1"/>
    <col min="15" max="15" width="12.57421875" style="0" customWidth="1"/>
    <col min="16" max="16" width="7.8515625" style="0" customWidth="1"/>
    <col min="17" max="17" width="4.8515625" style="179" customWidth="1"/>
    <col min="18" max="18" width="4.28125" style="179" customWidth="1"/>
    <col min="19" max="20" width="5.28125" style="179" customWidth="1"/>
    <col min="21" max="21" width="2.421875" style="179" customWidth="1"/>
    <col min="22" max="22" width="4.7109375" style="179" customWidth="1"/>
    <col min="23" max="23" width="8.421875" style="179" customWidth="1"/>
    <col min="24" max="24" width="7.421875" style="179" customWidth="1"/>
    <col min="25" max="25" width="5.57421875" style="179" customWidth="1"/>
    <col min="26" max="26" width="8.421875" style="179" customWidth="1"/>
    <col min="27" max="27" width="10.8515625" style="179" customWidth="1"/>
    <col min="28" max="28" width="15.140625" style="179" customWidth="1"/>
    <col min="29" max="29" width="3.28125" style="179" customWidth="1"/>
    <col min="30" max="30" width="5.8515625" style="179" customWidth="1"/>
    <col min="31" max="31" width="12.421875" style="179" customWidth="1"/>
    <col min="32" max="32" width="3.421875" style="179" customWidth="1"/>
    <col min="33" max="33" width="6.421875" style="179" customWidth="1"/>
    <col min="34" max="36" width="9.28125" style="179" bestFit="1" customWidth="1"/>
    <col min="37" max="37" width="9.28125" style="179" customWidth="1"/>
    <col min="38" max="38" width="9.140625" style="179" customWidth="1"/>
    <col min="39" max="39" width="11.7109375" style="179" customWidth="1"/>
    <col min="40" max="41" width="9.140625" style="179" customWidth="1"/>
    <col min="42" max="42" width="9.28125" style="179" bestFit="1" customWidth="1"/>
  </cols>
  <sheetData>
    <row r="1" spans="1:31" ht="21" thickBot="1">
      <c r="A1" s="392" t="s">
        <v>329</v>
      </c>
      <c r="B1" s="30"/>
      <c r="C1" s="30"/>
      <c r="D1" s="30"/>
      <c r="E1" s="30"/>
      <c r="F1" s="30"/>
      <c r="G1" s="30"/>
      <c r="H1" s="30"/>
      <c r="I1" s="30"/>
      <c r="J1" s="396"/>
      <c r="K1" s="440"/>
      <c r="L1" s="440"/>
      <c r="M1" s="440"/>
      <c r="N1" s="440"/>
      <c r="O1" s="440"/>
      <c r="P1" s="440"/>
      <c r="Q1" s="439"/>
      <c r="R1" s="439"/>
      <c r="S1" s="439"/>
      <c r="W1" s="573"/>
      <c r="X1" s="459"/>
      <c r="Y1" s="445" t="s">
        <v>44</v>
      </c>
      <c r="Z1" s="574" t="s">
        <v>407</v>
      </c>
      <c r="AA1" s="445" t="s">
        <v>440</v>
      </c>
      <c r="AB1" s="575" t="s">
        <v>408</v>
      </c>
      <c r="AC1" s="445" t="s">
        <v>143</v>
      </c>
      <c r="AD1" s="459"/>
      <c r="AE1" s="576" t="s">
        <v>2</v>
      </c>
    </row>
    <row r="2" spans="1:31" ht="21" thickBot="1">
      <c r="A2" s="30"/>
      <c r="B2" s="392" t="s">
        <v>149</v>
      </c>
      <c r="C2" s="30"/>
      <c r="D2" s="30"/>
      <c r="E2" s="30"/>
      <c r="F2" s="30"/>
      <c r="G2" s="30"/>
      <c r="H2" s="30"/>
      <c r="I2" s="30"/>
      <c r="J2" s="396"/>
      <c r="K2" s="457" t="s">
        <v>44</v>
      </c>
      <c r="L2" s="458" t="s">
        <v>374</v>
      </c>
      <c r="M2" s="459" t="s">
        <v>468</v>
      </c>
      <c r="N2" s="460" t="s">
        <v>469</v>
      </c>
      <c r="O2" s="445" t="s">
        <v>45</v>
      </c>
      <c r="P2" s="461" t="s">
        <v>470</v>
      </c>
      <c r="Q2" s="459" t="s">
        <v>468</v>
      </c>
      <c r="R2" s="462" t="s">
        <v>379</v>
      </c>
      <c r="S2" s="446" t="s">
        <v>467</v>
      </c>
      <c r="W2" s="290"/>
      <c r="X2" s="289" t="s">
        <v>498</v>
      </c>
      <c r="Y2" s="439" t="s">
        <v>44</v>
      </c>
      <c r="Z2" s="568">
        <v>6</v>
      </c>
      <c r="AA2" s="439" t="s">
        <v>440</v>
      </c>
      <c r="AB2" s="569">
        <v>-9</v>
      </c>
      <c r="AC2" s="439" t="s">
        <v>143</v>
      </c>
      <c r="AD2" s="289" t="s">
        <v>152</v>
      </c>
      <c r="AE2" s="109">
        <v>1</v>
      </c>
    </row>
    <row r="3" spans="1:31" ht="20.25">
      <c r="A3" s="30"/>
      <c r="B3" s="99" t="s">
        <v>150</v>
      </c>
      <c r="C3" s="83"/>
      <c r="D3" s="83"/>
      <c r="E3" s="100"/>
      <c r="F3" s="30"/>
      <c r="G3" s="99" t="s">
        <v>194</v>
      </c>
      <c r="H3" s="83"/>
      <c r="I3" s="100"/>
      <c r="J3" s="396"/>
      <c r="K3" s="447" t="s">
        <v>44</v>
      </c>
      <c r="L3" s="448">
        <v>1</v>
      </c>
      <c r="M3" s="287" t="s">
        <v>468</v>
      </c>
      <c r="N3" s="449">
        <v>-4</v>
      </c>
      <c r="O3" s="439" t="s">
        <v>45</v>
      </c>
      <c r="P3" s="450">
        <v>3</v>
      </c>
      <c r="Q3" s="287" t="s">
        <v>468</v>
      </c>
      <c r="R3" s="451">
        <v>1</v>
      </c>
      <c r="S3" s="452" t="s">
        <v>467</v>
      </c>
      <c r="W3" s="290" t="s">
        <v>503</v>
      </c>
      <c r="X3" s="287"/>
      <c r="Y3" s="287"/>
      <c r="Z3" s="287"/>
      <c r="AA3" s="287"/>
      <c r="AB3" s="287"/>
      <c r="AC3" s="287"/>
      <c r="AD3" s="287"/>
      <c r="AE3" s="291"/>
    </row>
    <row r="4" spans="1:31" ht="20.25">
      <c r="A4" s="30"/>
      <c r="B4" s="90" t="s">
        <v>2</v>
      </c>
      <c r="C4" s="91" t="s">
        <v>3</v>
      </c>
      <c r="D4" s="2"/>
      <c r="E4" s="63"/>
      <c r="F4" s="30"/>
      <c r="G4" s="90" t="s">
        <v>2</v>
      </c>
      <c r="H4" s="91" t="s">
        <v>3</v>
      </c>
      <c r="I4" s="545" t="s">
        <v>4</v>
      </c>
      <c r="J4" s="396"/>
      <c r="K4" s="453"/>
      <c r="L4" s="440"/>
      <c r="M4" s="440"/>
      <c r="N4" s="440"/>
      <c r="O4" s="440"/>
      <c r="P4" s="440"/>
      <c r="Q4" s="439"/>
      <c r="R4" s="439"/>
      <c r="S4" s="452"/>
      <c r="W4" s="577"/>
      <c r="X4" s="570" t="s">
        <v>499</v>
      </c>
      <c r="Y4" s="571"/>
      <c r="Z4" s="511" t="s">
        <v>443</v>
      </c>
      <c r="AA4" s="543" t="s">
        <v>444</v>
      </c>
      <c r="AB4" s="544" t="s">
        <v>445</v>
      </c>
      <c r="AC4" s="287"/>
      <c r="AD4" s="240" t="s">
        <v>157</v>
      </c>
      <c r="AE4" s="240">
        <f>Z2-SQRT(-1*AE2*AB2)/AE2</f>
        <v>3</v>
      </c>
    </row>
    <row r="5" spans="1:31" ht="21">
      <c r="A5" s="30"/>
      <c r="B5" s="90">
        <v>2</v>
      </c>
      <c r="C5" s="91">
        <v>3</v>
      </c>
      <c r="D5" s="2"/>
      <c r="E5" s="63"/>
      <c r="F5" s="30"/>
      <c r="G5" s="90">
        <v>4</v>
      </c>
      <c r="H5" s="91">
        <v>-2</v>
      </c>
      <c r="I5" s="545">
        <v>-15</v>
      </c>
      <c r="J5" s="396"/>
      <c r="K5" s="453"/>
      <c r="L5" s="443">
        <f>L3*P3</f>
        <v>3</v>
      </c>
      <c r="M5" s="441" t="s">
        <v>471</v>
      </c>
      <c r="N5" s="442">
        <f>L3*R3+N3*P3</f>
        <v>-11</v>
      </c>
      <c r="O5" s="439" t="s">
        <v>170</v>
      </c>
      <c r="P5" s="444">
        <f>N3*R3</f>
        <v>-4</v>
      </c>
      <c r="Q5" s="439"/>
      <c r="R5" s="439"/>
      <c r="S5" s="452"/>
      <c r="W5" s="290"/>
      <c r="X5" s="572">
        <f>SQRT(-1*AE2*AB2)/AE2</f>
        <v>3</v>
      </c>
      <c r="Y5" s="287"/>
      <c r="Z5" s="511">
        <f>AE2</f>
        <v>1</v>
      </c>
      <c r="AA5" s="543">
        <f>-1*Z5*Z2</f>
        <v>-6</v>
      </c>
      <c r="AB5" s="544">
        <f>Z5*Z2^2+AB2</f>
        <v>27</v>
      </c>
      <c r="AC5" s="287"/>
      <c r="AD5" s="240" t="s">
        <v>157</v>
      </c>
      <c r="AE5" s="240">
        <f>Z2+SQRT(-1*AE2*AB2)/AE2</f>
        <v>9</v>
      </c>
    </row>
    <row r="6" spans="1:31" ht="21" thickBot="1">
      <c r="A6" s="30"/>
      <c r="B6" s="67"/>
      <c r="C6" s="2"/>
      <c r="D6" s="2"/>
      <c r="E6" s="63"/>
      <c r="F6" s="30"/>
      <c r="G6" s="88"/>
      <c r="H6" s="3">
        <v>4</v>
      </c>
      <c r="I6" s="102"/>
      <c r="J6" s="396"/>
      <c r="K6" s="453"/>
      <c r="L6" s="440"/>
      <c r="M6" s="440"/>
      <c r="N6" s="440"/>
      <c r="O6" s="440"/>
      <c r="P6" s="440"/>
      <c r="Q6" s="439"/>
      <c r="R6" s="439"/>
      <c r="S6" s="452"/>
      <c r="W6" s="578"/>
      <c r="X6" s="295"/>
      <c r="Y6" s="295"/>
      <c r="Z6" s="579" t="s">
        <v>500</v>
      </c>
      <c r="AA6" s="579" t="s">
        <v>501</v>
      </c>
      <c r="AB6" s="579" t="s">
        <v>502</v>
      </c>
      <c r="AC6" s="295"/>
      <c r="AD6" s="295"/>
      <c r="AE6" s="580"/>
    </row>
    <row r="7" spans="1:31" ht="20.25">
      <c r="A7" s="30"/>
      <c r="B7" s="67" t="s">
        <v>157</v>
      </c>
      <c r="C7" s="91">
        <f>-1*C5</f>
        <v>-3</v>
      </c>
      <c r="D7" s="2" t="s">
        <v>158</v>
      </c>
      <c r="E7" s="109">
        <f>B5</f>
        <v>2</v>
      </c>
      <c r="F7" s="30"/>
      <c r="G7" s="110" t="s">
        <v>157</v>
      </c>
      <c r="H7" s="3"/>
      <c r="I7" s="102"/>
      <c r="J7" s="396"/>
      <c r="K7" s="453"/>
      <c r="L7" s="439" t="s">
        <v>44</v>
      </c>
      <c r="M7" s="463" t="s">
        <v>407</v>
      </c>
      <c r="N7" s="439" t="s">
        <v>440</v>
      </c>
      <c r="O7" s="464" t="s">
        <v>408</v>
      </c>
      <c r="P7" s="439" t="s">
        <v>143</v>
      </c>
      <c r="Q7" s="439"/>
      <c r="R7" s="439"/>
      <c r="S7" s="452"/>
      <c r="W7" s="567"/>
      <c r="X7" s="567"/>
      <c r="Y7" s="567"/>
      <c r="Z7" s="567"/>
      <c r="AA7" s="567"/>
      <c r="AB7" s="567"/>
      <c r="AC7" s="567"/>
      <c r="AD7" s="567"/>
      <c r="AE7" s="567"/>
    </row>
    <row r="8" spans="1:31" ht="21" thickBot="1">
      <c r="A8" s="30"/>
      <c r="B8" s="72" t="s">
        <v>157</v>
      </c>
      <c r="C8" s="111">
        <f>B5/(-1*C5)</f>
        <v>-0.6666666666666666</v>
      </c>
      <c r="D8" s="27"/>
      <c r="E8" s="112"/>
      <c r="F8" s="30"/>
      <c r="G8" s="88"/>
      <c r="H8" s="3"/>
      <c r="I8" s="102"/>
      <c r="J8" s="396"/>
      <c r="K8" s="454"/>
      <c r="L8" s="455" t="s">
        <v>44</v>
      </c>
      <c r="M8" s="471">
        <f>-N5/2/L5</f>
        <v>1.8333333333333333</v>
      </c>
      <c r="N8" s="455" t="s">
        <v>440</v>
      </c>
      <c r="O8" s="472">
        <f>L5*M8^2+N5*M8+P5</f>
        <v>-14.083333333333332</v>
      </c>
      <c r="P8" s="455" t="s">
        <v>143</v>
      </c>
      <c r="Q8" s="455"/>
      <c r="R8" s="455"/>
      <c r="S8" s="456"/>
      <c r="T8" s="288"/>
      <c r="U8" s="288"/>
      <c r="W8" s="567"/>
      <c r="X8" s="567"/>
      <c r="Y8" s="567"/>
      <c r="Z8" s="567"/>
      <c r="AA8" s="567"/>
      <c r="AB8" s="567"/>
      <c r="AC8" s="567"/>
      <c r="AD8" s="567"/>
      <c r="AE8" s="567"/>
    </row>
    <row r="9" spans="1:31" ht="21" thickBot="1">
      <c r="A9" s="30"/>
      <c r="B9" s="30"/>
      <c r="C9" s="30"/>
      <c r="D9" s="30"/>
      <c r="E9" s="30"/>
      <c r="F9" s="30"/>
      <c r="G9" s="88"/>
      <c r="H9" s="3"/>
      <c r="I9" s="102"/>
      <c r="J9" s="396"/>
      <c r="K9" s="55"/>
      <c r="L9" s="417" t="s">
        <v>2</v>
      </c>
      <c r="M9" s="417" t="s">
        <v>3</v>
      </c>
      <c r="N9" s="417" t="s">
        <v>4</v>
      </c>
      <c r="O9" s="417" t="s">
        <v>407</v>
      </c>
      <c r="P9" s="417" t="s">
        <v>408</v>
      </c>
      <c r="Q9" s="417" t="s">
        <v>343</v>
      </c>
      <c r="R9" s="417" t="s">
        <v>344</v>
      </c>
      <c r="S9" s="25"/>
      <c r="T9" s="25"/>
      <c r="U9" s="288"/>
      <c r="V9" s="187"/>
      <c r="W9" s="567"/>
      <c r="X9" s="567"/>
      <c r="Y9" s="567"/>
      <c r="Z9" s="567"/>
      <c r="AA9" s="567"/>
      <c r="AB9" s="567"/>
      <c r="AC9" s="567"/>
      <c r="AD9" s="567"/>
      <c r="AE9" s="567"/>
    </row>
    <row r="10" spans="1:31" ht="20.25">
      <c r="A10" s="30"/>
      <c r="B10" s="410" t="s">
        <v>439</v>
      </c>
      <c r="C10" s="113"/>
      <c r="D10" s="113"/>
      <c r="E10" s="113"/>
      <c r="F10" s="411"/>
      <c r="G10" s="110" t="s">
        <v>157</v>
      </c>
      <c r="H10" s="3"/>
      <c r="I10" s="102"/>
      <c r="J10" s="396"/>
      <c r="K10" s="147"/>
      <c r="L10" s="418"/>
      <c r="M10" s="418"/>
      <c r="N10" s="418"/>
      <c r="O10" s="418"/>
      <c r="P10" s="418"/>
      <c r="Q10" s="418"/>
      <c r="R10" s="418"/>
      <c r="S10" s="422"/>
      <c r="T10" s="296"/>
      <c r="U10" s="288"/>
      <c r="V10" s="187"/>
      <c r="W10" s="567"/>
      <c r="X10" s="567"/>
      <c r="Y10" s="567"/>
      <c r="Z10" s="567"/>
      <c r="AA10" s="567"/>
      <c r="AB10" s="567"/>
      <c r="AC10" s="567"/>
      <c r="AD10" s="567"/>
      <c r="AE10" s="567"/>
    </row>
    <row r="11" spans="1:31" ht="20.25">
      <c r="A11" s="30"/>
      <c r="B11" s="233"/>
      <c r="C11" s="21"/>
      <c r="D11" s="21"/>
      <c r="E11" s="21"/>
      <c r="F11" s="229"/>
      <c r="G11" s="88"/>
      <c r="H11" s="3"/>
      <c r="I11" s="102"/>
      <c r="J11" s="396"/>
      <c r="K11" s="147"/>
      <c r="L11" s="418"/>
      <c r="M11" s="418"/>
      <c r="N11" s="418"/>
      <c r="O11" s="418"/>
      <c r="P11" s="418"/>
      <c r="Q11" s="418"/>
      <c r="R11" s="418"/>
      <c r="S11" s="438"/>
      <c r="T11" s="296"/>
      <c r="U11" s="288"/>
      <c r="V11" s="187"/>
      <c r="W11" s="567"/>
      <c r="X11" s="567"/>
      <c r="Y11" s="567"/>
      <c r="Z11" s="567"/>
      <c r="AA11" s="567"/>
      <c r="AB11" s="567"/>
      <c r="AC11" s="567"/>
      <c r="AD11" s="567"/>
      <c r="AE11" s="567"/>
    </row>
    <row r="12" spans="1:31" ht="21" thickBot="1">
      <c r="A12" s="30"/>
      <c r="B12" s="413" t="s">
        <v>44</v>
      </c>
      <c r="C12" s="21">
        <f>-H5/(2*G5)</f>
        <v>0.25</v>
      </c>
      <c r="D12" s="21" t="s">
        <v>440</v>
      </c>
      <c r="E12" s="21">
        <f>G5*C12^2+H5*C12+I5</f>
        <v>-15.25</v>
      </c>
      <c r="F12" s="21" t="s">
        <v>143</v>
      </c>
      <c r="G12" s="335" t="s">
        <v>165</v>
      </c>
      <c r="H12" s="335">
        <f>-H5/(2*G5)+SQRT(H5^2-4*G5*I5)/(2*G5)</f>
        <v>2.2025624189766635</v>
      </c>
      <c r="I12" s="102"/>
      <c r="J12" s="396"/>
      <c r="K12" s="147"/>
      <c r="L12" s="418"/>
      <c r="M12" s="418"/>
      <c r="N12" s="418"/>
      <c r="O12" s="419"/>
      <c r="P12" s="418"/>
      <c r="Q12" s="418"/>
      <c r="R12" s="418"/>
      <c r="S12" s="187"/>
      <c r="T12" s="187"/>
      <c r="U12" s="288"/>
      <c r="V12" s="296"/>
      <c r="W12" s="567"/>
      <c r="X12" s="567"/>
      <c r="Y12" s="567"/>
      <c r="Z12" s="567"/>
      <c r="AA12" s="567"/>
      <c r="AB12" s="567"/>
      <c r="AC12" s="567"/>
      <c r="AD12" s="567"/>
      <c r="AE12" s="567"/>
    </row>
    <row r="13" spans="1:31" ht="21" thickBot="1">
      <c r="A13" s="30"/>
      <c r="B13" s="412"/>
      <c r="C13" s="414" t="s">
        <v>441</v>
      </c>
      <c r="D13" s="415" t="s">
        <v>442</v>
      </c>
      <c r="E13" s="416">
        <f>H5^2-4*G5*I5</f>
        <v>244</v>
      </c>
      <c r="F13" s="116"/>
      <c r="G13" s="335" t="s">
        <v>165</v>
      </c>
      <c r="H13" s="335">
        <f>-H5/(2*G5)-SQRT(H5^2-4*G5*I5)/(2*G5)</f>
        <v>-1.7025624189766635</v>
      </c>
      <c r="I13" s="108"/>
      <c r="J13" s="396"/>
      <c r="K13" s="147"/>
      <c r="L13" s="418"/>
      <c r="M13" s="418"/>
      <c r="N13" s="418"/>
      <c r="O13" s="418"/>
      <c r="P13" s="418"/>
      <c r="Q13" s="418"/>
      <c r="R13" s="418"/>
      <c r="S13" s="187"/>
      <c r="T13" s="187"/>
      <c r="U13" s="296"/>
      <c r="V13" s="296"/>
      <c r="W13" s="567"/>
      <c r="X13" s="567"/>
      <c r="Y13" s="567"/>
      <c r="Z13" s="567"/>
      <c r="AA13" s="567"/>
      <c r="AB13" s="567"/>
      <c r="AC13" s="567"/>
      <c r="AD13" s="567"/>
      <c r="AE13" s="567"/>
    </row>
    <row r="14" spans="1:31" ht="20.25">
      <c r="A14" s="99" t="s">
        <v>167</v>
      </c>
      <c r="B14" s="101"/>
      <c r="C14" s="3"/>
      <c r="D14" s="3"/>
      <c r="E14" s="3"/>
      <c r="F14" s="101"/>
      <c r="G14" s="3"/>
      <c r="H14" s="3"/>
      <c r="I14" s="114"/>
      <c r="J14" s="396"/>
      <c r="K14" s="147"/>
      <c r="L14" s="418"/>
      <c r="M14" s="418"/>
      <c r="N14" s="418"/>
      <c r="O14" s="418"/>
      <c r="P14" s="418"/>
      <c r="Q14" s="418"/>
      <c r="R14" s="418"/>
      <c r="T14" s="420"/>
      <c r="U14" s="187"/>
      <c r="V14" s="187"/>
      <c r="W14" s="567"/>
      <c r="X14" s="567"/>
      <c r="Y14" s="567"/>
      <c r="Z14" s="567"/>
      <c r="AA14" s="567"/>
      <c r="AB14" s="567"/>
      <c r="AC14" s="567"/>
      <c r="AD14" s="567"/>
      <c r="AE14" s="567"/>
    </row>
    <row r="15" spans="1:31" ht="20.25">
      <c r="A15" s="88" t="s">
        <v>168</v>
      </c>
      <c r="B15" s="3"/>
      <c r="C15" s="3"/>
      <c r="D15" s="3"/>
      <c r="E15" s="3"/>
      <c r="F15" s="3"/>
      <c r="G15" s="3"/>
      <c r="H15" s="3"/>
      <c r="I15" s="102"/>
      <c r="J15" s="396"/>
      <c r="K15" s="147"/>
      <c r="L15" s="403"/>
      <c r="M15" s="403"/>
      <c r="N15" s="403"/>
      <c r="O15" s="403"/>
      <c r="P15" s="403"/>
      <c r="Q15" s="403"/>
      <c r="R15" s="418"/>
      <c r="T15" s="421"/>
      <c r="U15" s="288"/>
      <c r="V15" s="288"/>
      <c r="W15" s="567"/>
      <c r="X15" s="567"/>
      <c r="Y15" s="567"/>
      <c r="Z15" s="567"/>
      <c r="AA15" s="567"/>
      <c r="AB15" s="567"/>
      <c r="AC15" s="567"/>
      <c r="AD15" s="567"/>
      <c r="AE15" s="567"/>
    </row>
    <row r="16" spans="1:31" ht="21" thickBot="1">
      <c r="A16" s="398" t="s">
        <v>169</v>
      </c>
      <c r="B16" s="3"/>
      <c r="C16" s="3"/>
      <c r="D16" s="3"/>
      <c r="E16" s="3"/>
      <c r="F16" s="3"/>
      <c r="G16" s="115"/>
      <c r="H16" s="115"/>
      <c r="I16" s="108"/>
      <c r="J16" s="396"/>
      <c r="K16" s="147"/>
      <c r="L16" s="418"/>
      <c r="M16" s="418"/>
      <c r="N16" s="418"/>
      <c r="O16" s="418"/>
      <c r="P16" s="418"/>
      <c r="Q16" s="403"/>
      <c r="R16" s="418"/>
      <c r="S16" s="187"/>
      <c r="T16" s="187"/>
      <c r="U16" s="288"/>
      <c r="V16" s="288"/>
      <c r="W16" s="567"/>
      <c r="X16" s="567"/>
      <c r="Y16" s="567"/>
      <c r="Z16" s="567"/>
      <c r="AA16" s="567"/>
      <c r="AB16" s="567"/>
      <c r="AC16" s="567"/>
      <c r="AD16" s="567"/>
      <c r="AE16" s="567"/>
    </row>
    <row r="17" spans="1:31" ht="20.25">
      <c r="A17" s="397"/>
      <c r="B17" s="99" t="s">
        <v>406</v>
      </c>
      <c r="C17" s="249"/>
      <c r="D17" s="249"/>
      <c r="E17" s="249"/>
      <c r="F17" s="250"/>
      <c r="G17" s="396"/>
      <c r="H17" s="396"/>
      <c r="I17" s="396"/>
      <c r="J17" s="396"/>
      <c r="K17" s="147"/>
      <c r="L17" s="466"/>
      <c r="M17" s="466"/>
      <c r="N17" s="466"/>
      <c r="O17" s="466"/>
      <c r="P17" s="466"/>
      <c r="Q17" s="467"/>
      <c r="R17" s="468"/>
      <c r="S17" s="25"/>
      <c r="T17" s="25"/>
      <c r="U17" s="288"/>
      <c r="V17" s="288"/>
      <c r="W17" s="567"/>
      <c r="X17" s="567"/>
      <c r="Y17" s="567"/>
      <c r="Z17" s="567"/>
      <c r="AA17" s="567"/>
      <c r="AB17" s="567"/>
      <c r="AC17" s="567"/>
      <c r="AD17" s="567"/>
      <c r="AE17" s="567"/>
    </row>
    <row r="18" spans="1:31" ht="20.25">
      <c r="A18" s="396"/>
      <c r="B18" s="394" t="s">
        <v>409</v>
      </c>
      <c r="C18" s="393" t="s">
        <v>407</v>
      </c>
      <c r="D18" s="270"/>
      <c r="E18" s="395" t="s">
        <v>408</v>
      </c>
      <c r="F18" s="270"/>
      <c r="G18" s="511" t="s">
        <v>443</v>
      </c>
      <c r="H18" s="543" t="s">
        <v>444</v>
      </c>
      <c r="I18" s="544" t="s">
        <v>445</v>
      </c>
      <c r="J18" s="396"/>
      <c r="K18" s="396"/>
      <c r="L18" s="469"/>
      <c r="M18" s="469"/>
      <c r="N18" s="469"/>
      <c r="O18" s="469"/>
      <c r="P18" s="469"/>
      <c r="Q18" s="470"/>
      <c r="R18" s="470"/>
      <c r="U18" s="288"/>
      <c r="V18" s="288"/>
      <c r="W18" s="567"/>
      <c r="X18" s="567"/>
      <c r="Y18" s="567"/>
      <c r="Z18" s="567"/>
      <c r="AA18" s="567"/>
      <c r="AB18" s="567"/>
      <c r="AC18" s="567"/>
      <c r="AD18" s="567"/>
      <c r="AE18" s="567"/>
    </row>
    <row r="19" spans="1:31" ht="20.25">
      <c r="A19" s="396"/>
      <c r="B19" s="394">
        <v>-1</v>
      </c>
      <c r="C19" s="393">
        <v>-2</v>
      </c>
      <c r="D19" s="270"/>
      <c r="E19" s="395">
        <v>3</v>
      </c>
      <c r="F19" s="270"/>
      <c r="G19" s="511">
        <f>B19</f>
        <v>-1</v>
      </c>
      <c r="H19" s="543">
        <f>-2*B19*C19</f>
        <v>-4</v>
      </c>
      <c r="I19" s="544">
        <f>B19*C19^2+E19</f>
        <v>-1</v>
      </c>
      <c r="J19" s="396"/>
      <c r="K19" s="396"/>
      <c r="L19" s="469"/>
      <c r="M19" s="469"/>
      <c r="N19" s="469"/>
      <c r="O19" s="469"/>
      <c r="P19" s="469"/>
      <c r="Q19" s="470"/>
      <c r="R19" s="470"/>
      <c r="S19" s="473"/>
      <c r="T19" s="473"/>
      <c r="U19" s="474"/>
      <c r="V19" s="475"/>
      <c r="W19" s="567"/>
      <c r="X19" s="567"/>
      <c r="Y19" s="567"/>
      <c r="Z19" s="567"/>
      <c r="AA19" s="567"/>
      <c r="AB19" s="567"/>
      <c r="AC19" s="567"/>
      <c r="AD19" s="567"/>
      <c r="AE19" s="567"/>
    </row>
    <row r="20" spans="1:31" ht="20.25">
      <c r="A20" s="396"/>
      <c r="B20" s="308" t="s">
        <v>438</v>
      </c>
      <c r="C20" s="270"/>
      <c r="D20" s="270"/>
      <c r="E20" s="270"/>
      <c r="F20" s="307"/>
      <c r="G20" s="396"/>
      <c r="H20" s="396"/>
      <c r="I20" s="396"/>
      <c r="J20" s="396"/>
      <c r="K20" s="396"/>
      <c r="L20" s="469"/>
      <c r="M20" s="469"/>
      <c r="N20" s="469"/>
      <c r="O20" s="469"/>
      <c r="P20" s="469"/>
      <c r="Q20" s="470"/>
      <c r="R20" s="470"/>
      <c r="U20" s="288"/>
      <c r="V20" s="187"/>
      <c r="W20" s="567"/>
      <c r="X20" s="567"/>
      <c r="Y20" s="567"/>
      <c r="Z20" s="567"/>
      <c r="AA20" s="567"/>
      <c r="AB20" s="567"/>
      <c r="AC20" s="567"/>
      <c r="AD20" s="567"/>
      <c r="AE20" s="567"/>
    </row>
    <row r="21" spans="1:31" ht="20.25">
      <c r="A21" s="396"/>
      <c r="B21" s="240" t="s">
        <v>157</v>
      </c>
      <c r="C21" s="240">
        <f>C19-SQRT(-1*B19*E19)/B19</f>
        <v>-0.2679491924311228</v>
      </c>
      <c r="D21" s="270"/>
      <c r="E21" s="21"/>
      <c r="F21" s="307"/>
      <c r="G21" s="396"/>
      <c r="H21" s="396"/>
      <c r="I21" s="396"/>
      <c r="J21" s="396"/>
      <c r="K21" s="396"/>
      <c r="L21" s="469"/>
      <c r="M21" s="469"/>
      <c r="N21" s="469"/>
      <c r="O21" s="469"/>
      <c r="P21" s="469"/>
      <c r="Q21" s="470"/>
      <c r="R21" s="470"/>
      <c r="U21" s="288"/>
      <c r="V21" s="288"/>
      <c r="W21" s="567"/>
      <c r="X21" s="567"/>
      <c r="Y21" s="567"/>
      <c r="Z21" s="567"/>
      <c r="AA21" s="567"/>
      <c r="AB21" s="567"/>
      <c r="AC21" s="567"/>
      <c r="AD21" s="567"/>
      <c r="AE21" s="567"/>
    </row>
    <row r="22" spans="1:31" ht="21" thickBot="1">
      <c r="A22" s="396"/>
      <c r="B22" s="240" t="s">
        <v>157</v>
      </c>
      <c r="C22" s="240">
        <f>C19+SQRT(-1*B19*E19)/B19</f>
        <v>-3.732050807568877</v>
      </c>
      <c r="D22" s="252"/>
      <c r="E22" s="116"/>
      <c r="F22" s="253"/>
      <c r="G22" s="396"/>
      <c r="H22" s="396"/>
      <c r="I22" s="396"/>
      <c r="J22" s="396"/>
      <c r="K22" s="396"/>
      <c r="L22" s="469"/>
      <c r="M22" s="469"/>
      <c r="N22" s="469"/>
      <c r="O22" s="469"/>
      <c r="P22" s="469"/>
      <c r="Q22" s="470"/>
      <c r="R22" s="470"/>
      <c r="S22" s="473"/>
      <c r="U22" s="288"/>
      <c r="V22" s="288"/>
      <c r="W22" s="567"/>
      <c r="X22" s="567"/>
      <c r="Y22" s="567"/>
      <c r="Z22" s="567"/>
      <c r="AA22" s="567"/>
      <c r="AB22" s="567"/>
      <c r="AC22" s="567"/>
      <c r="AD22" s="567"/>
      <c r="AE22" s="567"/>
    </row>
    <row r="23" spans="1:22" ht="20.25">
      <c r="A23" s="399" t="s">
        <v>410</v>
      </c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403"/>
      <c r="M23" s="403"/>
      <c r="N23" s="403"/>
      <c r="O23" s="403"/>
      <c r="P23" s="403"/>
      <c r="Q23" s="465"/>
      <c r="R23" s="465"/>
      <c r="U23" s="296"/>
      <c r="V23" s="288"/>
    </row>
    <row r="24" spans="21:22" ht="20.25">
      <c r="U24" s="288"/>
      <c r="V24" s="288"/>
    </row>
    <row r="25" spans="21:22" ht="20.25">
      <c r="U25" s="288"/>
      <c r="V25" s="288"/>
    </row>
    <row r="26" spans="17:22" ht="20.25">
      <c r="Q26" s="270"/>
      <c r="R26" s="187"/>
      <c r="S26" s="187"/>
      <c r="T26" s="187"/>
      <c r="U26" s="288"/>
      <c r="V26" s="187"/>
    </row>
    <row r="27" spans="17:22" ht="20.25">
      <c r="Q27" s="270"/>
      <c r="R27" s="187"/>
      <c r="S27" s="187"/>
      <c r="T27" s="187"/>
      <c r="U27" s="288"/>
      <c r="V27" s="187"/>
    </row>
    <row r="28" spans="2:22" ht="20.25">
      <c r="B28" s="407" t="s">
        <v>446</v>
      </c>
      <c r="C28" s="407" t="s">
        <v>447</v>
      </c>
      <c r="D28" s="407"/>
      <c r="E28" s="407"/>
      <c r="Q28" s="270"/>
      <c r="R28" s="187"/>
      <c r="S28" s="296"/>
      <c r="T28" s="296"/>
      <c r="U28" s="288"/>
      <c r="V28" s="296"/>
    </row>
    <row r="29" spans="2:22" ht="20.25">
      <c r="B29" s="407" t="s">
        <v>448</v>
      </c>
      <c r="C29" s="407">
        <v>6</v>
      </c>
      <c r="D29" s="407"/>
      <c r="E29" s="407"/>
      <c r="Q29" s="270"/>
      <c r="R29" s="187"/>
      <c r="S29" s="187"/>
      <c r="T29" s="187"/>
      <c r="U29" s="288"/>
      <c r="V29" s="187"/>
    </row>
    <row r="30" spans="2:22" ht="20.25">
      <c r="B30" s="407"/>
      <c r="C30" s="407"/>
      <c r="D30" s="407"/>
      <c r="E30" s="407"/>
      <c r="Q30" s="270"/>
      <c r="R30" s="187"/>
      <c r="S30" s="187"/>
      <c r="T30" s="187"/>
      <c r="U30" s="187"/>
      <c r="V30" s="187"/>
    </row>
    <row r="31" spans="2:22" ht="20.25">
      <c r="B31" s="407" t="s">
        <v>449</v>
      </c>
      <c r="C31" s="407">
        <v>4</v>
      </c>
      <c r="D31" s="407" t="s">
        <v>450</v>
      </c>
      <c r="E31" s="407"/>
      <c r="R31" s="288"/>
      <c r="S31" s="288"/>
      <c r="T31" s="187"/>
      <c r="U31" s="187"/>
      <c r="V31" s="288"/>
    </row>
    <row r="32" spans="2:22" ht="20.25">
      <c r="B32" s="407" t="s">
        <v>448</v>
      </c>
      <c r="C32" s="407">
        <v>6</v>
      </c>
      <c r="D32" s="407"/>
      <c r="E32" s="407"/>
      <c r="Q32" s="270"/>
      <c r="R32" s="187"/>
      <c r="S32" s="288"/>
      <c r="T32" s="288"/>
      <c r="U32" s="288"/>
      <c r="V32" s="288"/>
    </row>
    <row r="33" spans="2:22" ht="20.25">
      <c r="B33" s="407"/>
      <c r="C33" s="407"/>
      <c r="D33" s="407"/>
      <c r="E33" s="407"/>
      <c r="Q33" s="270"/>
      <c r="R33" s="187"/>
      <c r="S33" s="288"/>
      <c r="T33" s="288"/>
      <c r="U33" s="288"/>
      <c r="V33" s="288"/>
    </row>
    <row r="34" spans="2:22" ht="20.25">
      <c r="B34" s="407" t="s">
        <v>451</v>
      </c>
      <c r="C34" s="407"/>
      <c r="D34" s="407" t="s">
        <v>452</v>
      </c>
      <c r="E34" s="407"/>
      <c r="Q34" s="270"/>
      <c r="R34" s="187"/>
      <c r="S34" s="187"/>
      <c r="T34" s="298"/>
      <c r="U34" s="298"/>
      <c r="V34" s="288"/>
    </row>
    <row r="35" spans="2:22" ht="21" thickBot="1">
      <c r="B35" s="407" t="s">
        <v>453</v>
      </c>
      <c r="C35" s="407"/>
      <c r="D35" s="407"/>
      <c r="E35" s="407"/>
      <c r="K35" s="23" t="s">
        <v>327</v>
      </c>
      <c r="L35" s="23"/>
      <c r="M35" s="23"/>
      <c r="N35" s="23"/>
      <c r="O35" s="23"/>
      <c r="Q35" s="270"/>
      <c r="R35" s="187"/>
      <c r="S35" s="187"/>
      <c r="T35" s="187"/>
      <c r="U35" s="298"/>
      <c r="V35" s="288"/>
    </row>
    <row r="36" spans="2:22" ht="20.25">
      <c r="B36" s="407"/>
      <c r="C36" s="407"/>
      <c r="D36" s="407"/>
      <c r="E36" s="407"/>
      <c r="K36" s="46" t="s">
        <v>70</v>
      </c>
      <c r="L36" s="47"/>
      <c r="M36" s="47"/>
      <c r="N36" s="47"/>
      <c r="O36" s="48"/>
      <c r="Q36" s="270"/>
      <c r="R36" s="288"/>
      <c r="S36" s="288"/>
      <c r="T36" s="288"/>
      <c r="U36" s="298"/>
      <c r="V36" s="288"/>
    </row>
    <row r="37" spans="2:22" ht="20.25">
      <c r="B37" s="407" t="s">
        <v>454</v>
      </c>
      <c r="C37" s="407">
        <v>4</v>
      </c>
      <c r="D37" s="407" t="s">
        <v>243</v>
      </c>
      <c r="E37" s="407"/>
      <c r="K37" s="61" t="s">
        <v>72</v>
      </c>
      <c r="L37" s="22"/>
      <c r="M37" s="22"/>
      <c r="N37" s="62" t="s">
        <v>34</v>
      </c>
      <c r="O37" s="63"/>
      <c r="Q37" s="270"/>
      <c r="R37" s="187"/>
      <c r="S37" s="187"/>
      <c r="T37" s="187"/>
      <c r="U37" s="288"/>
      <c r="V37" s="187"/>
    </row>
    <row r="38" spans="2:22" ht="20.25">
      <c r="B38" s="407" t="s">
        <v>448</v>
      </c>
      <c r="C38" s="407">
        <v>6</v>
      </c>
      <c r="D38" s="407"/>
      <c r="E38" s="407"/>
      <c r="K38" s="61"/>
      <c r="L38" s="22"/>
      <c r="M38" s="22"/>
      <c r="N38" s="22"/>
      <c r="O38" s="64"/>
      <c r="Q38" s="270"/>
      <c r="R38" s="187"/>
      <c r="S38" s="187"/>
      <c r="T38" s="187"/>
      <c r="U38" s="288"/>
      <c r="V38" s="187"/>
    </row>
    <row r="39" spans="11:22" ht="20.25">
      <c r="K39" s="61" t="s">
        <v>75</v>
      </c>
      <c r="L39" s="22" t="s">
        <v>76</v>
      </c>
      <c r="M39" s="22" t="s">
        <v>77</v>
      </c>
      <c r="N39" s="22"/>
      <c r="O39" s="64"/>
      <c r="Q39" s="270"/>
      <c r="R39" s="187"/>
      <c r="S39" s="296"/>
      <c r="T39" s="296"/>
      <c r="U39" s="288"/>
      <c r="V39" s="296"/>
    </row>
    <row r="40" spans="11:22" ht="20.25">
      <c r="K40" s="61" t="s">
        <v>79</v>
      </c>
      <c r="L40" s="22" t="s">
        <v>80</v>
      </c>
      <c r="M40" s="22" t="s">
        <v>81</v>
      </c>
      <c r="N40" s="2" t="s">
        <v>82</v>
      </c>
      <c r="O40" s="63" t="s">
        <v>83</v>
      </c>
      <c r="Q40" s="270"/>
      <c r="R40" s="187"/>
      <c r="S40" s="187"/>
      <c r="T40" s="187"/>
      <c r="U40" s="288"/>
      <c r="V40" s="187"/>
    </row>
    <row r="41" spans="11:22" ht="20.25">
      <c r="K41" s="67">
        <v>3</v>
      </c>
      <c r="L41" s="2">
        <v>5</v>
      </c>
      <c r="M41" s="2">
        <v>20</v>
      </c>
      <c r="N41" s="62">
        <f>(M41*L42-L41*M42)/(K41*L42-L41*K42)</f>
        <v>1.4285714285714286</v>
      </c>
      <c r="O41" s="68">
        <f>(K41*M42-M41*K42)/(K41*L42-L41*K42)</f>
        <v>3.142857142857143</v>
      </c>
      <c r="Q41" s="270"/>
      <c r="R41" s="187"/>
      <c r="S41" s="187"/>
      <c r="T41" s="187"/>
      <c r="U41" s="187"/>
      <c r="V41" s="187"/>
    </row>
    <row r="42" spans="11:22" ht="21" thickBot="1">
      <c r="K42" s="72">
        <v>2</v>
      </c>
      <c r="L42" s="27">
        <v>1</v>
      </c>
      <c r="M42" s="27">
        <v>6</v>
      </c>
      <c r="N42" s="28"/>
      <c r="O42" s="73"/>
      <c r="R42" s="288"/>
      <c r="S42" s="288"/>
      <c r="T42" s="187"/>
      <c r="U42" s="187"/>
      <c r="V42" s="288"/>
    </row>
    <row r="43" spans="17:22" ht="20.25">
      <c r="Q43" s="270"/>
      <c r="R43" s="187"/>
      <c r="S43" s="288"/>
      <c r="T43" s="288"/>
      <c r="U43" s="288"/>
      <c r="V43" s="288"/>
    </row>
    <row r="44" spans="19:22" ht="20.25">
      <c r="S44" s="288"/>
      <c r="T44" s="288"/>
      <c r="U44" s="288"/>
      <c r="V44" s="288"/>
    </row>
    <row r="45" spans="19:22" ht="20.25">
      <c r="S45" s="187"/>
      <c r="T45" s="298"/>
      <c r="U45" s="298"/>
      <c r="V45" s="288"/>
    </row>
    <row r="46" spans="19:22" ht="20.25">
      <c r="S46" s="187"/>
      <c r="T46" s="187"/>
      <c r="U46" s="298"/>
      <c r="V46" s="288"/>
    </row>
    <row r="47" spans="19:22" ht="20.25">
      <c r="S47" s="288"/>
      <c r="T47" s="288"/>
      <c r="U47" s="298"/>
      <c r="V47" s="288"/>
    </row>
    <row r="66" spans="33:37" ht="20.25">
      <c r="AG66" s="270"/>
      <c r="AH66" s="270"/>
      <c r="AI66" s="270"/>
      <c r="AJ66" s="287"/>
      <c r="AK66" s="287"/>
    </row>
    <row r="67" spans="33:37" ht="20.25">
      <c r="AG67" s="270"/>
      <c r="AH67" s="270"/>
      <c r="AI67" s="270"/>
      <c r="AJ67" s="287"/>
      <c r="AK67" s="287"/>
    </row>
    <row r="68" spans="33:37" ht="20.25">
      <c r="AG68" s="270"/>
      <c r="AH68" s="270"/>
      <c r="AI68" s="270"/>
      <c r="AJ68" s="287"/>
      <c r="AK68" s="287"/>
    </row>
    <row r="69" spans="33:35" ht="20.25">
      <c r="AG69"/>
      <c r="AH69"/>
      <c r="AI69"/>
    </row>
    <row r="70" spans="33:35" ht="20.25">
      <c r="AG70"/>
      <c r="AH70"/>
      <c r="AI70"/>
    </row>
  </sheetData>
  <sheetProtection/>
  <hyperlinks>
    <hyperlink ref="A16" r:id="rId1" display="www.mathnstuff.com/math/spoken/here/2class/320/quadequ.htm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MATHEMATICAL CONCEPTS,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azzolino</dc:creator>
  <cp:keywords/>
  <dc:description/>
  <cp:lastModifiedBy>agnes</cp:lastModifiedBy>
  <cp:lastPrinted>2008-07-22T16:27:49Z</cp:lastPrinted>
  <dcterms:created xsi:type="dcterms:W3CDTF">2007-07-10T19:24:10Z</dcterms:created>
  <dcterms:modified xsi:type="dcterms:W3CDTF">2017-12-08T20:52:46Z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