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785" windowWidth="17280" windowHeight="10680" tabRatio="914" activeTab="0"/>
  </bookViews>
  <sheets>
    <sheet name="intro" sheetId="1" r:id="rId1"/>
    <sheet name="cum" sheetId="2" r:id="rId2"/>
    <sheet name="chi squared" sheetId="3" r:id="rId3"/>
    <sheet name="2p test" sheetId="4" r:id="rId4"/>
    <sheet name="indep &amp; homogeneity" sheetId="5" r:id="rId5"/>
    <sheet name="prove normal" sheetId="6" r:id="rId6"/>
    <sheet name="independent2sample" sheetId="7" r:id="rId7"/>
    <sheet name="dependent2sample" sheetId="8" r:id="rId8"/>
    <sheet name="correlation coefficient" sheetId="9" r:id="rId9"/>
    <sheet name="ANOVA" sheetId="10" r:id="rId10"/>
    <sheet name="sign" sheetId="11" r:id="rId11"/>
    <sheet name="wilcoxon rank sum" sheetId="12" r:id="rId12"/>
    <sheet name="wilcoxon signed rank " sheetId="13" r:id="rId13"/>
    <sheet name="Sheet2" sheetId="14" r:id="rId14"/>
  </sheets>
  <definedNames>
    <definedName name="a_low">#REF!</definedName>
    <definedName name="alow">#REF!</definedName>
    <definedName name="b_low">#REF!</definedName>
    <definedName name="c_low">#REF!</definedName>
    <definedName name="d_low">#REF!</definedName>
    <definedName name="exa">#REF!</definedName>
    <definedName name="exb">#REF!</definedName>
    <definedName name="exc">#REF!</definedName>
    <definedName name="exd">#REF!</definedName>
    <definedName name="expmean">'prove normal'!$P$3</definedName>
    <definedName name="expstdev">'prove normal'!$P$4</definedName>
    <definedName name="lowa">#REF!</definedName>
    <definedName name="lowb">#REF!</definedName>
    <definedName name="lowc">#REF!</definedName>
    <definedName name="lowd">#REF!</definedName>
    <definedName name="mean">#REF!</definedName>
    <definedName name="mean_is">#REF!</definedName>
    <definedName name="median100">'sign'!$AR$23</definedName>
    <definedName name="median25">'sign'!$D$13</definedName>
    <definedName name="median26">'sign'!$AR$23</definedName>
    <definedName name="nmean">#REF!</definedName>
    <definedName name="nst_dev">#REF!</definedName>
    <definedName name="obsn">'prove normal'!$B$22</definedName>
    <definedName name="out_of">#REF!</definedName>
    <definedName name="questions">#REF!</definedName>
    <definedName name="st_dev">#REF!</definedName>
  </definedNames>
  <calcPr fullCalcOnLoad="1"/>
</workbook>
</file>

<file path=xl/sharedStrings.xml><?xml version="1.0" encoding="utf-8"?>
<sst xmlns="http://schemas.openxmlformats.org/spreadsheetml/2006/main" count="1046" uniqueCount="456">
  <si>
    <t>mean</t>
  </si>
  <si>
    <t>st dev</t>
  </si>
  <si>
    <t>Page</t>
  </si>
  <si>
    <t>Contents</t>
  </si>
  <si>
    <t>●</t>
  </si>
  <si>
    <t>intro</t>
  </si>
  <si>
    <t>Title &amp; Contents</t>
  </si>
  <si>
    <t>mean is</t>
  </si>
  <si>
    <t>x</t>
  </si>
  <si>
    <t>z</t>
  </si>
  <si>
    <t>Follow instructions on page.  Colored cells are self-computing.  Enter data in other cells.</t>
  </si>
  <si>
    <t>cum</t>
  </si>
  <si>
    <t>Cumulative  z-scores probability table.</t>
  </si>
  <si>
    <t>z+.00</t>
  </si>
  <si>
    <t>z+.01</t>
  </si>
  <si>
    <t>z+.02</t>
  </si>
  <si>
    <t>z+.03</t>
  </si>
  <si>
    <t>z+.04</t>
  </si>
  <si>
    <t>z+.05</t>
  </si>
  <si>
    <t>z+.06</t>
  </si>
  <si>
    <t>z+.07</t>
  </si>
  <si>
    <t>z+.08</t>
  </si>
  <si>
    <t>z+.09</t>
  </si>
  <si>
    <t xml:space="preserve">The probability a score is </t>
  </si>
  <si>
    <t xml:space="preserve">Standard Normal </t>
  </si>
  <si>
    <t xml:space="preserve">    Cumulative Distribution</t>
  </si>
  <si>
    <t xml:space="preserve">  less than this z</t>
  </si>
  <si>
    <t>binomial</t>
  </si>
  <si>
    <t>some binomial distributions and a self-computing cell</t>
  </si>
  <si>
    <t>n</t>
  </si>
  <si>
    <t>observed</t>
  </si>
  <si>
    <t>expected</t>
  </si>
  <si>
    <t>O - E</t>
  </si>
  <si>
    <t>(O-E)^2</t>
  </si>
  <si>
    <t>(O-E)^2/E</t>
  </si>
  <si>
    <t>chi squared =</t>
  </si>
  <si>
    <t>chisquaredGOFtest</t>
  </si>
  <si>
    <t>p is</t>
  </si>
  <si>
    <t>d.f is</t>
  </si>
  <si>
    <t>n is</t>
  </si>
  <si>
    <t>the square root of the variance is the standard deviation, s, is</t>
  </si>
  <si>
    <t>n(n-1) is</t>
  </si>
  <si>
    <t xml:space="preserve">fx² </t>
  </si>
  <si>
    <t>mark, x</t>
  </si>
  <si>
    <t>fx</t>
  </si>
  <si>
    <t>OBSERVED DISTRIBUTION</t>
  </si>
  <si>
    <t>∑fx is</t>
  </si>
  <si>
    <t>∑fx² is</t>
  </si>
  <si>
    <t>standard deviation is</t>
  </si>
  <si>
    <t>n-1 is</t>
  </si>
  <si>
    <t>variance is</t>
  </si>
  <si>
    <t>EXPECTED DISTRIBUTION</t>
  </si>
  <si>
    <t>lower</t>
  </si>
  <si>
    <t>upper</t>
  </si>
  <si>
    <t>EXPECTEDF is normdist(upper,expmean,expstdev,true) - normdist(lower,expmean,expstdev,true)</t>
  </si>
  <si>
    <t>Use these descriptive statistics from the OBSERVED DISTRIBUTION.</t>
  </si>
  <si>
    <t>O =freq, f</t>
  </si>
  <si>
    <t>E =EXPECTED%</t>
  </si>
  <si>
    <t>E = EXPECTEDf</t>
  </si>
  <si>
    <t>EXPECTEDf is EXPECTED%)(n of OBSERVED)</t>
  </si>
  <si>
    <t>n is and is named as "obsn" as a label</t>
  </si>
  <si>
    <t>EXPECTEDf is less than 5.</t>
  </si>
  <si>
    <t>Also change the d.f..</t>
  </si>
  <si>
    <t>Combine groups if ANY</t>
  </si>
  <si>
    <t>d.f.=(no of groups)-1</t>
  </si>
  <si>
    <t>Use CHIDIST(x,def_freedom)</t>
  </si>
  <si>
    <t>is named expstdev using [Formulas] [define name]</t>
  </si>
  <si>
    <t>is named expmean using [Formulas] [define name]</t>
  </si>
  <si>
    <t>NORMALITY OF DISTRIBUTION</t>
  </si>
  <si>
    <t xml:space="preserve">COMPLETE A GOF TEST FOR </t>
  </si>
  <si>
    <t>chi squared</t>
  </si>
  <si>
    <t>complete a Chi Square GOF Test</t>
  </si>
  <si>
    <t>prove normal</t>
  </si>
  <si>
    <t>complete a Chi Square GOF Test to test for normality of observed distribution</t>
  </si>
  <si>
    <t>© 2003, 2008, 2012 A. Azzolino</t>
  </si>
  <si>
    <r>
      <t>(</t>
    </r>
    <r>
      <rPr>
        <b/>
        <sz val="9"/>
        <rFont val="Calibri"/>
        <family val="2"/>
      </rPr>
      <t>∑f</t>
    </r>
    <r>
      <rPr>
        <b/>
        <sz val="9"/>
        <rFont val="Arial"/>
        <family val="2"/>
      </rPr>
      <t>x)² is</t>
    </r>
  </si>
  <si>
    <r>
      <t>H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>: Observed distribution is normal.</t>
    </r>
  </si>
  <si>
    <r>
      <t>n(∑fx²) - (</t>
    </r>
    <r>
      <rPr>
        <b/>
        <sz val="9"/>
        <rFont val="Calibri"/>
        <family val="2"/>
      </rPr>
      <t>∑f</t>
    </r>
    <r>
      <rPr>
        <b/>
        <sz val="9"/>
        <rFont val="Arial"/>
        <family val="2"/>
      </rPr>
      <t>x)</t>
    </r>
    <r>
      <rPr>
        <b/>
        <sz val="9"/>
        <rFont val="Calibri"/>
        <family val="2"/>
      </rPr>
      <t>²</t>
    </r>
    <r>
      <rPr>
        <b/>
        <sz val="9"/>
        <rFont val="Arial"/>
        <family val="2"/>
      </rPr>
      <t xml:space="preserve"> is</t>
    </r>
  </si>
  <si>
    <r>
      <t>H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: Observed distribution is not normal.</t>
    </r>
  </si>
  <si>
    <r>
      <t>[n(∑fx²) - (</t>
    </r>
    <r>
      <rPr>
        <b/>
        <sz val="9"/>
        <rFont val="Calibri"/>
        <family val="2"/>
      </rPr>
      <t>∑f</t>
    </r>
    <r>
      <rPr>
        <b/>
        <sz val="9"/>
        <rFont val="Arial"/>
        <family val="2"/>
      </rPr>
      <t>x)</t>
    </r>
    <r>
      <rPr>
        <b/>
        <sz val="9"/>
        <rFont val="Calibri"/>
        <family val="2"/>
      </rPr>
      <t>²]/[n(n-1)] is the variance</t>
    </r>
    <r>
      <rPr>
        <b/>
        <sz val="9"/>
        <rFont val="Arial"/>
        <family val="2"/>
      </rPr>
      <t xml:space="preserve"> is</t>
    </r>
  </si>
  <si>
    <t xml:space="preserve">n </t>
  </si>
  <si>
    <t xml:space="preserve">   COMPLETE A GOF TEST FOR </t>
  </si>
  <si>
    <t>OBSERVED statistics.</t>
  </si>
  <si>
    <r>
      <t>n(∑fx²) - (</t>
    </r>
    <r>
      <rPr>
        <b/>
        <sz val="9"/>
        <rFont val="Calibri"/>
        <family val="2"/>
      </rPr>
      <t>∑f</t>
    </r>
    <r>
      <rPr>
        <b/>
        <sz val="9"/>
        <rFont val="Arial"/>
        <family val="2"/>
      </rPr>
      <t>x)</t>
    </r>
    <r>
      <rPr>
        <b/>
        <sz val="9"/>
        <rFont val="Calibri"/>
        <family val="2"/>
      </rPr>
      <t>²</t>
    </r>
  </si>
  <si>
    <t>n(n-1)</t>
  </si>
  <si>
    <t>E%</t>
  </si>
  <si>
    <t>Efrequ</t>
  </si>
  <si>
    <r>
      <t>[n(∑fx²) - (</t>
    </r>
    <r>
      <rPr>
        <b/>
        <sz val="9"/>
        <rFont val="Calibri"/>
        <family val="2"/>
      </rPr>
      <t>∑f</t>
    </r>
    <r>
      <rPr>
        <b/>
        <sz val="9"/>
        <rFont val="Arial"/>
        <family val="2"/>
      </rPr>
      <t>x)</t>
    </r>
    <r>
      <rPr>
        <b/>
        <sz val="9"/>
        <rFont val="Calibri"/>
        <family val="2"/>
      </rPr>
      <t>²]/[n(n-1),</t>
    </r>
  </si>
  <si>
    <t>the variance</t>
  </si>
  <si>
    <r>
      <rPr>
        <b/>
        <sz val="9"/>
        <rFont val="Calibri"/>
        <family val="2"/>
      </rPr>
      <t>√</t>
    </r>
    <r>
      <rPr>
        <b/>
        <sz val="7.2"/>
        <rFont val="Arial"/>
        <family val="2"/>
      </rPr>
      <t>(</t>
    </r>
    <r>
      <rPr>
        <b/>
        <sz val="9"/>
        <rFont val="Arial"/>
        <family val="2"/>
      </rPr>
      <t>variance),</t>
    </r>
  </si>
  <si>
    <t xml:space="preserve"> the standard deviation.</t>
  </si>
  <si>
    <t>O freq,f</t>
  </si>
  <si>
    <t>Population 1</t>
  </si>
  <si>
    <t>Population 2</t>
  </si>
  <si>
    <t>population stdev is</t>
  </si>
  <si>
    <t>sample size is</t>
  </si>
  <si>
    <t>sample stdev is</t>
  </si>
  <si>
    <t>population mean</t>
  </si>
  <si>
    <t>sample mean is</t>
  </si>
  <si>
    <t>(mean1 - mean2)</t>
  </si>
  <si>
    <t>=</t>
  </si>
  <si>
    <t>+</t>
  </si>
  <si>
    <t>(samplemean1 - samplemean2)</t>
  </si>
  <si>
    <t>degrees of freedom</t>
  </si>
  <si>
    <r>
      <t>(smaller of n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-1 and 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-1)</t>
    </r>
  </si>
  <si>
    <t xml:space="preserve">p is </t>
  </si>
  <si>
    <t>is not needed because popmean1 assumed = to popmean2 by null hypothesis</t>
  </si>
  <si>
    <t>...2</t>
  </si>
  <si>
    <t>one-tail</t>
  </si>
  <si>
    <t>rounded to</t>
  </si>
  <si>
    <t>d.f.</t>
  </si>
  <si>
    <t>one tail</t>
  </si>
  <si>
    <t>more accurate df and 1-tail p for 2 sample t-test</t>
  </si>
  <si>
    <t>independent2sample</t>
  </si>
  <si>
    <t>INDEPENDENT SAMPLES, complete a test on the difference between 2 means</t>
  </si>
  <si>
    <t>dependent2sample</t>
  </si>
  <si>
    <t>PAIRED SAMPLES, create a difference distribution</t>
  </si>
  <si>
    <t>sum of Ds is</t>
  </si>
  <si>
    <t>mean of Ds is</t>
  </si>
  <si>
    <t xml:space="preserve"> - </t>
  </si>
  <si>
    <t>(</t>
  </si>
  <si>
    <t>)</t>
  </si>
  <si>
    <t>-  (</t>
  </si>
  <si>
    <r>
      <rPr>
        <b/>
        <sz val="12"/>
        <rFont val="Arial"/>
        <family val="2"/>
      </rPr>
      <t>)</t>
    </r>
    <r>
      <rPr>
        <b/>
        <vertAlign val="superscript"/>
        <sz val="12"/>
        <rFont val="Arial"/>
        <family val="2"/>
      </rPr>
      <t>2</t>
    </r>
  </si>
  <si>
    <r>
      <t>x</t>
    </r>
    <r>
      <rPr>
        <b/>
        <vertAlign val="subscript"/>
        <sz val="12"/>
        <rFont val="Arial"/>
        <family val="2"/>
      </rPr>
      <t>1</t>
    </r>
  </si>
  <si>
    <r>
      <t>x</t>
    </r>
    <r>
      <rPr>
        <b/>
        <vertAlign val="subscript"/>
        <sz val="12"/>
        <rFont val="Arial"/>
        <family val="2"/>
      </rPr>
      <t>2</t>
    </r>
  </si>
  <si>
    <r>
      <t>D = x</t>
    </r>
    <r>
      <rPr>
        <b/>
        <vertAlign val="sub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- x</t>
    </r>
    <r>
      <rPr>
        <b/>
        <vertAlign val="subscript"/>
        <sz val="12"/>
        <rFont val="Arial"/>
        <family val="2"/>
      </rPr>
      <t>2</t>
    </r>
  </si>
  <si>
    <r>
      <t>D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= (x</t>
    </r>
    <r>
      <rPr>
        <b/>
        <vertAlign val="sub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- x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)</t>
    </r>
    <r>
      <rPr>
        <b/>
        <vertAlign val="superscript"/>
        <sz val="12"/>
        <rFont val="Arial"/>
        <family val="2"/>
      </rPr>
      <t>2</t>
    </r>
  </si>
  <si>
    <r>
      <t>sum of D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s is</t>
    </r>
  </si>
  <si>
    <t>t  =</t>
  </si>
  <si>
    <t>on one-tail</t>
  </si>
  <si>
    <t>stdev of D is</t>
  </si>
  <si>
    <t>t is</t>
  </si>
  <si>
    <t>pi 2tail is</t>
  </si>
  <si>
    <t>The degrees of freedom between the two methods are equal when rounded to 1 decimal place.</t>
  </si>
  <si>
    <r>
      <t>TI84 does a weighted degrees of freedom, not (smaller of n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-1 and n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-1).</t>
    </r>
  </si>
  <si>
    <t>2proportions</t>
  </si>
  <si>
    <t>compare 2 proportions</t>
  </si>
  <si>
    <t>sample1</t>
  </si>
  <si>
    <t>sample2</t>
  </si>
  <si>
    <t>x is</t>
  </si>
  <si>
    <t>(x1+x2)/(n1+n2)</t>
  </si>
  <si>
    <t>standard error is</t>
  </si>
  <si>
    <t>sqrt(pbar*qbar*(1/n1+1/n2))</t>
  </si>
  <si>
    <t>z is</t>
  </si>
  <si>
    <t>is</t>
  </si>
  <si>
    <t>weighted estimate of population proportion, pbar, is</t>
  </si>
  <si>
    <t xml:space="preserve"> -</t>
  </si>
  <si>
    <t>difference in sample proportions</t>
  </si>
  <si>
    <t>difference in population proportions</t>
  </si>
  <si>
    <t>see null hypothesis</t>
  </si>
  <si>
    <t>populations</t>
  </si>
  <si>
    <t>sample proportion, p hat, is xi/ni</t>
  </si>
  <si>
    <t>qbar is 1-pbar</t>
  </si>
  <si>
    <t>correlation coefficient</t>
  </si>
  <si>
    <t>cmplete a T-test on the strength of a linear correlation</t>
  </si>
  <si>
    <t>y</t>
  </si>
  <si>
    <t>xy</t>
  </si>
  <si>
    <r>
      <t>x</t>
    </r>
    <r>
      <rPr>
        <b/>
        <vertAlign val="superscript"/>
        <sz val="12"/>
        <rFont val="Arial"/>
        <family val="2"/>
      </rPr>
      <t>2</t>
    </r>
  </si>
  <si>
    <r>
      <t>y</t>
    </r>
    <r>
      <rPr>
        <b/>
        <vertAlign val="superscript"/>
        <sz val="12"/>
        <rFont val="Arial"/>
        <family val="2"/>
      </rPr>
      <t>2</t>
    </r>
  </si>
  <si>
    <t>Sums</t>
  </si>
  <si>
    <t>•</t>
  </si>
  <si>
    <t>sum(xy)</t>
  </si>
  <si>
    <t>sum(x)</t>
  </si>
  <si>
    <t>sum(y)</t>
  </si>
  <si>
    <t>[</t>
  </si>
  <si>
    <r>
      <t>]</t>
    </r>
    <r>
      <rPr>
        <sz val="12"/>
        <rFont val="Calibri"/>
        <family val="2"/>
      </rPr>
      <t>•</t>
    </r>
    <r>
      <rPr>
        <sz val="12"/>
        <rFont val="Arial"/>
        <family val="2"/>
      </rPr>
      <t>[</t>
    </r>
  </si>
  <si>
    <t>]</t>
  </si>
  <si>
    <t>sum(x^2)</t>
  </si>
  <si>
    <t>sq(sum(x))</t>
  </si>
  <si>
    <t>sum(y^2)</t>
  </si>
  <si>
    <t>sq(sum(y))</t>
  </si>
  <si>
    <t>r =</t>
  </si>
  <si>
    <t>t =</t>
  </si>
  <si>
    <t xml:space="preserve">1 - </t>
  </si>
  <si>
    <t>r^2</t>
  </si>
  <si>
    <t xml:space="preserve"> - 2</t>
  </si>
  <si>
    <t>r</t>
  </si>
  <si>
    <t>on 2-tail</t>
  </si>
  <si>
    <r>
      <t>%r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=</t>
    </r>
  </si>
  <si>
    <t>%</t>
  </si>
  <si>
    <t>GROUPS/PREFERENCE</t>
  </si>
  <si>
    <t>perference1</t>
  </si>
  <si>
    <t>preference2</t>
  </si>
  <si>
    <t>preference3</t>
  </si>
  <si>
    <t>total pref</t>
  </si>
  <si>
    <t>total group</t>
  </si>
  <si>
    <t>THESE MUST BE =.</t>
  </si>
  <si>
    <t>d.f.= ((columns)-1)((rows)-1)</t>
  </si>
  <si>
    <t>rows</t>
  </si>
  <si>
    <t>columns</t>
  </si>
  <si>
    <t>rows of groups, columns of preferences</t>
  </si>
  <si>
    <t>EXPECTED PROPORTIONS TABLE</t>
  </si>
  <si>
    <t>groupSUM</t>
  </si>
  <si>
    <t>preferencesSUM</t>
  </si>
  <si>
    <t>GRANDTOTAL</t>
  </si>
  <si>
    <t>CHI SQUARE COMPUTATION TABLE</t>
  </si>
  <si>
    <t>sorted by R,C</t>
  </si>
  <si>
    <t>1,1</t>
  </si>
  <si>
    <t>1,2</t>
  </si>
  <si>
    <t>1,3</t>
  </si>
  <si>
    <t>2,2</t>
  </si>
  <si>
    <t>2,3</t>
  </si>
  <si>
    <t>3,1</t>
  </si>
  <si>
    <t>3,2</t>
  </si>
  <si>
    <t>3,3</t>
  </si>
  <si>
    <t>OBSERVED</t>
  </si>
  <si>
    <t>EXPECTED</t>
  </si>
  <si>
    <t>CONTINGENCY TABLE</t>
  </si>
  <si>
    <t>(O-E)</t>
  </si>
  <si>
    <t>preteens</t>
  </si>
  <si>
    <t>teens</t>
  </si>
  <si>
    <t>college kids</t>
  </si>
  <si>
    <t>subgroup1</t>
  </si>
  <si>
    <t>subgroup2</t>
  </si>
  <si>
    <t>subgroup3</t>
  </si>
  <si>
    <t>CHIDIST is</t>
  </si>
  <si>
    <t>CHIVNV is</t>
  </si>
  <si>
    <t>CHITEST is</t>
  </si>
  <si>
    <t>is p</t>
  </si>
  <si>
    <t>is chi squared</t>
  </si>
  <si>
    <t>is p computed using the observed and expected cells of table</t>
  </si>
  <si>
    <t>indep &amp; homogeneity of proportion</t>
  </si>
  <si>
    <t>complete chi square test of independence of proportion or homogeneity of proportions</t>
  </si>
  <si>
    <r>
      <t>E</t>
    </r>
    <r>
      <rPr>
        <b/>
        <vertAlign val="subscript"/>
        <sz val="10"/>
        <rFont val="Arial"/>
        <family val="2"/>
      </rPr>
      <t>r,c</t>
    </r>
    <r>
      <rPr>
        <b/>
        <sz val="10"/>
        <rFont val="Arial"/>
        <family val="2"/>
      </rPr>
      <t>= (rowSUM)*(columnSUM)/(GRANDTOTAL)</t>
    </r>
  </si>
  <si>
    <r>
      <t>E</t>
    </r>
    <r>
      <rPr>
        <vertAlign val="subscript"/>
        <sz val="10"/>
        <rFont val="Arial"/>
        <family val="2"/>
      </rPr>
      <t>r,c</t>
    </r>
    <r>
      <rPr>
        <sz val="10"/>
        <rFont val="Arial"/>
        <family val="2"/>
      </rPr>
      <t>= (rowSUM)*(columnSUM)/(GRANDTOTAL)</t>
    </r>
  </si>
  <si>
    <t>6.5 to 8 hours</t>
  </si>
  <si>
    <t>4 to 6.5 hours</t>
  </si>
  <si>
    <t>8 to 10.5 hrs.</t>
  </si>
  <si>
    <t>ANOVA</t>
  </si>
  <si>
    <t>complete an Analysis of Variance test to see if 3 or more means are equal</t>
  </si>
  <si>
    <t>group1</t>
  </si>
  <si>
    <t>group2</t>
  </si>
  <si>
    <t>group3</t>
  </si>
  <si>
    <t>group4</t>
  </si>
  <si>
    <t>(mean-GM)</t>
  </si>
  <si>
    <t>n-1</t>
  </si>
  <si>
    <t>sum(x) is</t>
  </si>
  <si>
    <t>k-1</t>
  </si>
  <si>
    <t>N-k</t>
  </si>
  <si>
    <t>Source</t>
  </si>
  <si>
    <t>sum of squares</t>
  </si>
  <si>
    <t>F</t>
  </si>
  <si>
    <t>between</t>
  </si>
  <si>
    <t>SSB</t>
  </si>
  <si>
    <t>within (error)</t>
  </si>
  <si>
    <t>SSW</t>
  </si>
  <si>
    <t>MSB is SSB/(k-1)</t>
  </si>
  <si>
    <t>MSW is SSW/(N-k)</t>
  </si>
  <si>
    <t xml:space="preserve"> is MSB</t>
  </si>
  <si>
    <t xml:space="preserve"> is MSW</t>
  </si>
  <si>
    <t xml:space="preserve"> is MSB/MSW</t>
  </si>
  <si>
    <t>&gt;&gt;</t>
  </si>
  <si>
    <t>is SSB/(k-1)</t>
  </si>
  <si>
    <t>is SSW/(N-k)</t>
  </si>
  <si>
    <t>MSB/MSW is</t>
  </si>
  <si>
    <t xml:space="preserve"> is Ftest</t>
  </si>
  <si>
    <t>mean squares</t>
  </si>
  <si>
    <t xml:space="preserve"> k is no of groups is</t>
  </si>
  <si>
    <t>N is sum of n is</t>
  </si>
  <si>
    <t>SSB is sum of n(mean-GM)^2 is</t>
  </si>
  <si>
    <t>SSW is sum of 9N-1(s^2) is</t>
  </si>
  <si>
    <t>d.f.numerator is k - 1  is</t>
  </si>
  <si>
    <t xml:space="preserve">d.f.denominator is N - k is </t>
  </si>
  <si>
    <t>SSW is sum of (n-1)(s^2) is</t>
  </si>
  <si>
    <t xml:space="preserve">CV  with alpha = .05 is  </t>
  </si>
  <si>
    <t xml:space="preserve">CV with alpha = .05 is  </t>
  </si>
  <si>
    <r>
      <t>(mean-GM)</t>
    </r>
    <r>
      <rPr>
        <b/>
        <vertAlign val="superscript"/>
        <sz val="10"/>
        <rFont val="Arial"/>
        <family val="2"/>
      </rPr>
      <t>2</t>
    </r>
  </si>
  <si>
    <r>
      <t>n(mean-GM)</t>
    </r>
    <r>
      <rPr>
        <b/>
        <vertAlign val="superscript"/>
        <sz val="10"/>
        <rFont val="Arial"/>
        <family val="2"/>
      </rPr>
      <t>2</t>
    </r>
  </si>
  <si>
    <r>
      <t>(n-1)s</t>
    </r>
    <r>
      <rPr>
        <b/>
        <vertAlign val="superscript"/>
        <sz val="10"/>
        <rFont val="Arial"/>
        <family val="2"/>
      </rPr>
      <t>2</t>
    </r>
  </si>
  <si>
    <t>sum of the (n-1) is</t>
  </si>
  <si>
    <t>Anova: Single Factor</t>
  </si>
  <si>
    <t>SUMMARY</t>
  </si>
  <si>
    <t>Groups</t>
  </si>
  <si>
    <t>Count</t>
  </si>
  <si>
    <t>Sum</t>
  </si>
  <si>
    <t>Average</t>
  </si>
  <si>
    <t>Variance</t>
  </si>
  <si>
    <t>Column 1</t>
  </si>
  <si>
    <t>Column 2</t>
  </si>
  <si>
    <t>Column 3</t>
  </si>
  <si>
    <t>Column 4</t>
  </si>
  <si>
    <t>Source of Variation</t>
  </si>
  <si>
    <t>SS</t>
  </si>
  <si>
    <t>df</t>
  </si>
  <si>
    <t>MS</t>
  </si>
  <si>
    <t>P-value</t>
  </si>
  <si>
    <t>F crit</t>
  </si>
  <si>
    <t>Between Groups</t>
  </si>
  <si>
    <t>Within Groups</t>
  </si>
  <si>
    <t>Total</t>
  </si>
  <si>
    <t>Analysis of Variance</t>
  </si>
  <si>
    <r>
      <t>Scheff</t>
    </r>
    <r>
      <rPr>
        <b/>
        <sz val="10"/>
        <rFont val="Calibri"/>
        <family val="2"/>
      </rPr>
      <t>é</t>
    </r>
    <r>
      <rPr>
        <b/>
        <sz val="10"/>
        <rFont val="Arial"/>
        <family val="2"/>
      </rPr>
      <t xml:space="preserve"> Test to Find Where the Difference is in the Means</t>
    </r>
  </si>
  <si>
    <t>F Critical</t>
  </si>
  <si>
    <t>(mean1-mean2)</t>
  </si>
  <si>
    <t>(mean1-mean2)^2</t>
  </si>
  <si>
    <t>(1/n1 + 1/n2)</t>
  </si>
  <si>
    <t xml:space="preserve">F Test </t>
  </si>
  <si>
    <t>MSW</t>
  </si>
  <si>
    <r>
      <t>Scheff</t>
    </r>
    <r>
      <rPr>
        <b/>
        <sz val="10"/>
        <rFont val="Calibri"/>
        <family val="2"/>
      </rPr>
      <t>é</t>
    </r>
    <r>
      <rPr>
        <b/>
        <sz val="10"/>
        <rFont val="Arial"/>
        <family val="2"/>
      </rPr>
      <t xml:space="preserve"> Test to Find Pair-Wise Which Means Differ From the Others (W/Different Size Samples)</t>
    </r>
  </si>
  <si>
    <t>Tukey Test test to Find Pair-Wise Which Means Differ From the Others (Same Size Samples Required)</t>
  </si>
  <si>
    <t>sqrt(MSW/n)</t>
  </si>
  <si>
    <t>q Critical</t>
  </si>
  <si>
    <t>q critical found in new table, using alpha, k and d.f.within (v)</t>
  </si>
  <si>
    <t xml:space="preserve">q Test </t>
  </si>
  <si>
    <t>sign doesn't matter on q test since one can't tell which mean is larger</t>
  </si>
  <si>
    <t>sign</t>
  </si>
  <si>
    <t>complete sign test</t>
  </si>
  <si>
    <t>n &lt; 26</t>
  </si>
  <si>
    <t>median is</t>
  </si>
  <si>
    <r>
      <t xml:space="preserve">n </t>
    </r>
    <r>
      <rPr>
        <b/>
        <u val="single"/>
        <sz val="12"/>
        <rFont val="Arial"/>
        <family val="2"/>
      </rPr>
      <t>&gt;</t>
    </r>
    <r>
      <rPr>
        <b/>
        <sz val="12"/>
        <rFont val="Arial"/>
        <family val="2"/>
      </rPr>
      <t xml:space="preserve"> 26</t>
    </r>
  </si>
  <si>
    <r>
      <t>z</t>
    </r>
    <r>
      <rPr>
        <b/>
        <vertAlign val="subscript"/>
        <sz val="10"/>
        <rFont val="Arial"/>
        <family val="2"/>
      </rPr>
      <t>sign</t>
    </r>
    <r>
      <rPr>
        <b/>
        <sz val="10"/>
        <rFont val="Arial"/>
        <family val="2"/>
      </rPr>
      <t xml:space="preserve"> is</t>
    </r>
  </si>
  <si>
    <t>([Formula]defined cell is median25)</t>
  </si>
  <si>
    <t>Sign Test</t>
  </si>
  <si>
    <t>Remove unused cells below!!</t>
  </si>
  <si>
    <t xml:space="preserve"> is =RANDBETWEEN(0,40)</t>
  </si>
  <si>
    <t xml:space="preserve"> is =C3-median25</t>
  </si>
  <si>
    <t xml:space="preserve"> is =IF(C11&lt;0,-1,IF(C11=0,0,IF(C11&gt;0,1)))</t>
  </si>
  <si>
    <t xml:space="preserve"> is=ABS(SUMIF(C17:G21,&lt;0"))"</t>
  </si>
  <si>
    <t xml:space="preserve"> is =(SUMIF(C18:G22,&gt;0"))"</t>
  </si>
  <si>
    <t xml:space="preserve"> is =MIN(F24:F25)</t>
  </si>
  <si>
    <t xml:space="preserve"> is =(F26+0.5-F27/2)/(SQRT(F27)/2)</t>
  </si>
  <si>
    <t>Generating formulas are below.</t>
  </si>
  <si>
    <t>Unput raw data in green cells.</t>
  </si>
  <si>
    <t>median is ([Formula]defined cell is median25)</t>
  </si>
  <si>
    <t>n, sample size, is</t>
  </si>
  <si>
    <t>before</t>
  </si>
  <si>
    <t>after</t>
  </si>
  <si>
    <t>Test x is the samller of these is</t>
  </si>
  <si>
    <t>x-</t>
  </si>
  <si>
    <t>x+</t>
  </si>
  <si>
    <t>after-before</t>
  </si>
  <si>
    <t>x+ plus x- = n</t>
  </si>
  <si>
    <t>Using binomial distribution.</t>
  </si>
  <si>
    <t>NORMAL</t>
  </si>
  <si>
    <t>BINOMIAL</t>
  </si>
  <si>
    <t>p is 1-tail cumZdist is</t>
  </si>
  <si>
    <t>Using standard normal distribution.</t>
  </si>
  <si>
    <t>"is =NORMSDIST(V9)"</t>
  </si>
  <si>
    <t xml:space="preserve"> is =(V7+0.5-V3/2)/(SQRT(V3)/2)</t>
  </si>
  <si>
    <t>is =BINOMDIST(X7,X3,0.5,TRUE)</t>
  </si>
  <si>
    <t>xsmaller</t>
  </si>
  <si>
    <t>number of "negative signs"</t>
  </si>
  <si>
    <t>number of "positive signs"</t>
  </si>
  <si>
    <r>
      <t>P(x</t>
    </r>
    <r>
      <rPr>
        <b/>
        <u val="single"/>
        <sz val="10"/>
        <rFont val="Arial"/>
        <family val="2"/>
      </rPr>
      <t>&lt;</t>
    </r>
    <r>
      <rPr>
        <b/>
        <sz val="10"/>
        <rFont val="Arial"/>
        <family val="2"/>
      </rPr>
      <t>xsmaller, n = x</t>
    </r>
    <r>
      <rPr>
        <b/>
        <vertAlign val="superscript"/>
        <sz val="10"/>
        <rFont val="Arial"/>
        <family val="2"/>
      </rPr>
      <t>+</t>
    </r>
    <r>
      <rPr>
        <b/>
        <sz val="10"/>
        <rFont val="Arial"/>
        <family val="2"/>
      </rPr>
      <t xml:space="preserve"> + x</t>
    </r>
    <r>
      <rPr>
        <b/>
        <vertAlign val="superscript"/>
        <sz val="10"/>
        <rFont val="Arial"/>
        <family val="2"/>
      </rPr>
      <t>-</t>
    </r>
    <r>
      <rPr>
        <b/>
        <sz val="10"/>
        <rFont val="Arial"/>
        <family val="2"/>
      </rPr>
      <t>) is</t>
    </r>
  </si>
  <si>
    <t>(defined cell [formula] median100)</t>
  </si>
  <si>
    <t>stdev is</t>
  </si>
  <si>
    <t>" is =RANDBETWEEN(median100-2.25*median100,2.5*median100)"</t>
  </si>
  <si>
    <t>defined median</t>
  </si>
  <si>
    <t>actual median</t>
  </si>
  <si>
    <t>ranked differences</t>
  </si>
  <si>
    <t>is =SMALL(D3:D37,A5)</t>
  </si>
  <si>
    <t>actual median of this "after-before" sample is</t>
  </si>
  <si>
    <t>0 to 1</t>
  </si>
  <si>
    <t>6 to 10</t>
  </si>
  <si>
    <t>11 to 15</t>
  </si>
  <si>
    <t>to 20</t>
  </si>
  <si>
    <t>to 25</t>
  </si>
  <si>
    <t>to 30</t>
  </si>
  <si>
    <t>to 35</t>
  </si>
  <si>
    <t>to 40</t>
  </si>
  <si>
    <t>to 45</t>
  </si>
  <si>
    <t>to 50</t>
  </si>
  <si>
    <t>to 55</t>
  </si>
  <si>
    <t>to 60</t>
  </si>
  <si>
    <t>to 65</t>
  </si>
  <si>
    <t>to 70</t>
  </si>
  <si>
    <t>to 75</t>
  </si>
  <si>
    <t>to 80</t>
  </si>
  <si>
    <t>to 85</t>
  </si>
  <si>
    <t>to 90</t>
  </si>
  <si>
    <t>to 95</t>
  </si>
  <si>
    <t>to 100</t>
  </si>
  <si>
    <t>differences</t>
  </si>
  <si>
    <t>ranked diff.</t>
  </si>
  <si>
    <t>signs</t>
  </si>
  <si>
    <t>x-median</t>
  </si>
  <si>
    <t>raw scores</t>
  </si>
  <si>
    <t>x - median</t>
  </si>
  <si>
    <t>ranked x</t>
  </si>
  <si>
    <t>90/stat.xls</t>
  </si>
  <si>
    <t>x1</t>
  </si>
  <si>
    <t>x2</t>
  </si>
  <si>
    <t>mu R is</t>
  </si>
  <si>
    <t>sigma R is</t>
  </si>
  <si>
    <t>z tst is</t>
  </si>
  <si>
    <t>complete Wilcoxon rank sum test</t>
  </si>
  <si>
    <t>p (1-tail) is</t>
  </si>
  <si>
    <t>sorted lists</t>
  </si>
  <si>
    <t>RANKS of pooled</t>
  </si>
  <si>
    <t>N is n1 + n2 is</t>
  </si>
  <si>
    <t>RECOPY THIS BEFORE USING IT.</t>
  </si>
  <si>
    <t>r1, r2 are</t>
  </si>
  <si>
    <t>r1 and r2 are</t>
  </si>
  <si>
    <t>R is r2,etc.</t>
  </si>
  <si>
    <t>R is r1, etc.</t>
  </si>
  <si>
    <t>n1, n2 are</t>
  </si>
  <si>
    <t>R is r1 is</t>
  </si>
  <si>
    <t>R is r2 is</t>
  </si>
  <si>
    <t>meanx1 is</t>
  </si>
  <si>
    <t>medianz1 is</t>
  </si>
  <si>
    <t>meanx2 is</t>
  </si>
  <si>
    <t>medianx2 is</t>
  </si>
  <si>
    <t>manually edit!</t>
  </si>
  <si>
    <t>wilcoxon rank sum</t>
  </si>
  <si>
    <t>wilcoxon signed rank</t>
  </si>
  <si>
    <t>x1-x2</t>
  </si>
  <si>
    <t>is sign/abs</t>
  </si>
  <si>
    <t>of |x1-x2|</t>
  </si>
  <si>
    <t>Manually remove any 0.</t>
  </si>
  <si>
    <t>manually average</t>
  </si>
  <si>
    <t>(sign)(rank)</t>
  </si>
  <si>
    <t>ranks!!</t>
  </si>
  <si>
    <t>original</t>
  </si>
  <si>
    <t>absolute value of sum of positive ranks</t>
  </si>
  <si>
    <t>absolute value of sum of negative ranks</t>
  </si>
  <si>
    <r>
      <t>W</t>
    </r>
    <r>
      <rPr>
        <b/>
        <vertAlign val="subscript"/>
        <sz val="10"/>
        <rFont val="Arial"/>
        <family val="2"/>
      </rPr>
      <t>s</t>
    </r>
    <r>
      <rPr>
        <b/>
        <sz val="10"/>
        <rFont val="Arial"/>
        <family val="2"/>
      </rPr>
      <t xml:space="preserve"> is smaller of the sums</t>
    </r>
  </si>
  <si>
    <t xml:space="preserve">n is </t>
  </si>
  <si>
    <t>z test is</t>
  </si>
  <si>
    <t>n must be greater than 9.</t>
  </si>
  <si>
    <r>
      <t>W</t>
    </r>
    <r>
      <rPr>
        <b/>
        <sz val="10"/>
        <rFont val="Arial"/>
        <family val="2"/>
      </rPr>
      <t xml:space="preserve"> is abs value of the sum of all the (sign)(rank)</t>
    </r>
  </si>
  <si>
    <t>Using abs(all (sign)(rank))</t>
  </si>
  <si>
    <t>Using SMALLER of abs(sum of + or - (sign)(rank))</t>
  </si>
  <si>
    <t xml:space="preserve">n is # of non-zero differences is </t>
  </si>
  <si>
    <t>n must be greater than 30 or a special table must be used.</t>
  </si>
  <si>
    <t>is n(n+1)/2</t>
  </si>
  <si>
    <t>is W+ + W-</t>
  </si>
  <si>
    <t>large sample size</t>
  </si>
  <si>
    <t>small sample size</t>
  </si>
  <si>
    <t xml:space="preserve">  n must be greater than 30 or a special table must be used.</t>
  </si>
  <si>
    <t>ordered</t>
  </si>
  <si>
    <t>ranks</t>
  </si>
  <si>
    <t xml:space="preserve"> is =COUNTIF(BU5:BU19,&lt;0")+COUNTIF(BU5:BU19,"&gt;0")"</t>
  </si>
  <si>
    <t xml:space="preserve"> is =SMALL(Aw5:Aw19,1)</t>
  </si>
  <si>
    <t xml:space="preserve"> is =RANK(AQ5,AQ5:AQ19)</t>
  </si>
  <si>
    <t>RANKS</t>
  </si>
  <si>
    <t>ORDERED</t>
  </si>
  <si>
    <t>" is =(X8-0.25*X10*(X10+1))/SQRT((X10*(X10+1)*(2*X10+1))/24) "</t>
  </si>
  <si>
    <t>" is =(AI8-0.5)/SQRT((AI10*(AI10+1)*(2*AI10+1))/6)"</t>
  </si>
  <si>
    <t>use the columnZ ranks</t>
  </si>
  <si>
    <t>use below columnAY ranks</t>
  </si>
  <si>
    <t>RANK</t>
  </si>
  <si>
    <t>W is abs value of the sum of all the (sign)(rank)</t>
  </si>
  <si>
    <t>Table K</t>
  </si>
  <si>
    <t>Critical Values for Wilcoxon Signed-Rank Test</t>
  </si>
  <si>
    <t>Reject the null hypothesis if the test value is less than or</t>
  </si>
  <si>
    <t xml:space="preserve">  equal to the table value.</t>
  </si>
  <si>
    <t>one-tailed alpha=</t>
  </si>
  <si>
    <t>two-tailed alpha =</t>
  </si>
  <si>
    <t>** Using SMALLER of abs(sum of + or - (sign)(rank))</t>
  </si>
  <si>
    <t>** Using abs(all (sign)(rank))</t>
  </si>
  <si>
    <t>** Using the SMALLER of abs(sum of signed ranks) in the formula.</t>
  </si>
  <si>
    <t>** Use table in text when n &lt; 30.</t>
  </si>
  <si>
    <t>** Use table values for critical value.</t>
  </si>
  <si>
    <t>* n &gt;= 30, use formula and z-distribution.</t>
  </si>
  <si>
    <t>complete Wilcoxon signed rank test, view table for n&lt;10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</si>
</sst>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0"/>
    <numFmt numFmtId="167" formatCode="0.00000"/>
    <numFmt numFmtId="168" formatCode="0.0000"/>
    <numFmt numFmtId="169" formatCode="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0000"/>
    <numFmt numFmtId="175" formatCode="0.000000000"/>
    <numFmt numFmtId="176" formatCode="0.00000000"/>
    <numFmt numFmtId="177" formatCode="0.0000000000"/>
  </numFmts>
  <fonts count="8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9"/>
      <name val="Calibri"/>
      <family val="2"/>
    </font>
    <font>
      <b/>
      <vertAlign val="subscript"/>
      <sz val="10"/>
      <name val="Arial"/>
      <family val="2"/>
    </font>
    <font>
      <i/>
      <sz val="10"/>
      <name val="Arial"/>
      <family val="2"/>
    </font>
    <font>
      <b/>
      <sz val="7.2"/>
      <name val="Arial"/>
      <family val="2"/>
    </font>
    <font>
      <sz val="14"/>
      <name val="Arial"/>
      <family val="2"/>
    </font>
    <font>
      <vertAlign val="subscript"/>
      <sz val="10"/>
      <name val="Arial"/>
      <family val="2"/>
    </font>
    <font>
      <b/>
      <vertAlign val="superscript"/>
      <sz val="12"/>
      <name val="Arial"/>
      <family val="2"/>
    </font>
    <font>
      <b/>
      <vertAlign val="subscript"/>
      <sz val="12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b/>
      <vertAlign val="superscript"/>
      <sz val="10"/>
      <name val="Arial"/>
      <family val="2"/>
    </font>
    <font>
      <b/>
      <sz val="10"/>
      <name val="Calibri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sz val="1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13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0"/>
      <color indexed="13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7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rgb="FFFFFF00"/>
      <name val="Arial"/>
      <family val="2"/>
    </font>
    <font>
      <sz val="8"/>
      <color theme="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b/>
      <sz val="10"/>
      <color rgb="FFFFFF0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rgb="FF00B050"/>
      <name val="Arial"/>
      <family val="2"/>
    </font>
    <font>
      <b/>
      <sz val="12"/>
      <color rgb="FFFF000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0.0499899983406066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52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11" fillId="0" borderId="0" xfId="0" applyFont="1" applyAlignment="1">
      <alignment/>
    </xf>
    <xf numFmtId="168" fontId="7" fillId="0" borderId="10" xfId="0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12" fillId="34" borderId="10" xfId="0" applyFont="1" applyFill="1" applyBorder="1" applyAlignment="1">
      <alignment horizontal="center"/>
    </xf>
    <xf numFmtId="0" fontId="12" fillId="34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Fill="1" applyBorder="1" applyAlignment="1">
      <alignment/>
    </xf>
    <xf numFmtId="0" fontId="8" fillId="10" borderId="0" xfId="0" applyFont="1" applyFill="1" applyBorder="1" applyAlignment="1">
      <alignment/>
    </xf>
    <xf numFmtId="0" fontId="8" fillId="35" borderId="0" xfId="0" applyFont="1" applyFill="1" applyBorder="1" applyAlignment="1">
      <alignment horizontal="center"/>
    </xf>
    <xf numFmtId="0" fontId="0" fillId="10" borderId="0" xfId="0" applyFill="1" applyAlignment="1">
      <alignment/>
    </xf>
    <xf numFmtId="0" fontId="11" fillId="10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0" xfId="0" applyFont="1" applyFill="1" applyAlignment="1">
      <alignment/>
    </xf>
    <xf numFmtId="0" fontId="0" fillId="11" borderId="0" xfId="0" applyFill="1" applyBorder="1" applyAlignment="1">
      <alignment/>
    </xf>
    <xf numFmtId="0" fontId="0" fillId="11" borderId="0" xfId="0" applyFill="1" applyAlignment="1">
      <alignment/>
    </xf>
    <xf numFmtId="0" fontId="0" fillId="11" borderId="0" xfId="0" applyFont="1" applyFill="1" applyBorder="1" applyAlignment="1">
      <alignment/>
    </xf>
    <xf numFmtId="0" fontId="3" fillId="10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10" borderId="0" xfId="0" applyFont="1" applyFill="1" applyAlignment="1">
      <alignment horizontal="right"/>
    </xf>
    <xf numFmtId="0" fontId="10" fillId="5" borderId="10" xfId="0" applyFont="1" applyFill="1" applyBorder="1" applyAlignment="1">
      <alignment horizontal="center"/>
    </xf>
    <xf numFmtId="0" fontId="3" fillId="35" borderId="0" xfId="0" applyFont="1" applyFill="1" applyAlignment="1">
      <alignment horizontal="right"/>
    </xf>
    <xf numFmtId="0" fontId="4" fillId="10" borderId="0" xfId="0" applyFont="1" applyFill="1" applyBorder="1" applyAlignment="1">
      <alignment/>
    </xf>
    <xf numFmtId="0" fontId="10" fillId="10" borderId="0" xfId="0" applyFont="1" applyFill="1" applyBorder="1" applyAlignment="1">
      <alignment/>
    </xf>
    <xf numFmtId="2" fontId="10" fillId="5" borderId="10" xfId="0" applyNumberFormat="1" applyFont="1" applyFill="1" applyBorder="1" applyAlignment="1">
      <alignment horizontal="center"/>
    </xf>
    <xf numFmtId="0" fontId="4" fillId="35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3" fillId="10" borderId="0" xfId="0" applyFont="1" applyFill="1" applyBorder="1" applyAlignment="1">
      <alignment/>
    </xf>
    <xf numFmtId="0" fontId="10" fillId="10" borderId="0" xfId="0" applyFont="1" applyFill="1" applyBorder="1" applyAlignment="1">
      <alignment horizontal="center"/>
    </xf>
    <xf numFmtId="0" fontId="3" fillId="35" borderId="0" xfId="0" applyFont="1" applyFill="1" applyBorder="1" applyAlignment="1">
      <alignment/>
    </xf>
    <xf numFmtId="0" fontId="10" fillId="35" borderId="0" xfId="0" applyFont="1" applyFill="1" applyBorder="1" applyAlignment="1">
      <alignment horizontal="center"/>
    </xf>
    <xf numFmtId="0" fontId="10" fillId="3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0" fillId="9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168" fontId="10" fillId="9" borderId="10" xfId="0" applyNumberFormat="1" applyFont="1" applyFill="1" applyBorder="1" applyAlignment="1">
      <alignment horizontal="center"/>
    </xf>
    <xf numFmtId="0" fontId="10" fillId="35" borderId="0" xfId="0" applyFont="1" applyFill="1" applyBorder="1" applyAlignment="1">
      <alignment horizontal="left"/>
    </xf>
    <xf numFmtId="0" fontId="10" fillId="10" borderId="0" xfId="0" applyFont="1" applyFill="1" applyBorder="1" applyAlignment="1">
      <alignment horizontal="right"/>
    </xf>
    <xf numFmtId="0" fontId="10" fillId="35" borderId="0" xfId="0" applyFont="1" applyFill="1" applyBorder="1" applyAlignment="1">
      <alignment horizontal="right"/>
    </xf>
    <xf numFmtId="0" fontId="10" fillId="11" borderId="0" xfId="0" applyFont="1" applyFill="1" applyBorder="1" applyAlignment="1">
      <alignment/>
    </xf>
    <xf numFmtId="0" fontId="10" fillId="11" borderId="0" xfId="0" applyFont="1" applyFill="1" applyBorder="1" applyAlignment="1">
      <alignment horizontal="center"/>
    </xf>
    <xf numFmtId="0" fontId="3" fillId="11" borderId="0" xfId="0" applyFont="1" applyFill="1" applyBorder="1" applyAlignment="1">
      <alignment/>
    </xf>
    <xf numFmtId="0" fontId="10" fillId="11" borderId="0" xfId="0" applyFont="1" applyFill="1" applyBorder="1" applyAlignment="1">
      <alignment horizontal="right"/>
    </xf>
    <xf numFmtId="0" fontId="3" fillId="11" borderId="0" xfId="0" applyFont="1" applyFill="1" applyAlignment="1">
      <alignment/>
    </xf>
    <xf numFmtId="0" fontId="10" fillId="11" borderId="0" xfId="0" applyFont="1" applyFill="1" applyBorder="1" applyAlignment="1">
      <alignment horizontal="left"/>
    </xf>
    <xf numFmtId="0" fontId="3" fillId="34" borderId="0" xfId="0" applyFont="1" applyFill="1" applyAlignment="1">
      <alignment/>
    </xf>
    <xf numFmtId="0" fontId="10" fillId="10" borderId="0" xfId="0" applyFont="1" applyFill="1" applyBorder="1" applyAlignment="1">
      <alignment horizontal="left"/>
    </xf>
    <xf numFmtId="2" fontId="10" fillId="9" borderId="10" xfId="0" applyNumberFormat="1" applyFont="1" applyFill="1" applyBorder="1" applyAlignment="1">
      <alignment horizontal="center"/>
    </xf>
    <xf numFmtId="168" fontId="10" fillId="9" borderId="10" xfId="0" applyNumberFormat="1" applyFont="1" applyFill="1" applyBorder="1" applyAlignment="1">
      <alignment/>
    </xf>
    <xf numFmtId="168" fontId="3" fillId="9" borderId="10" xfId="0" applyNumberFormat="1" applyFont="1" applyFill="1" applyBorder="1" applyAlignment="1">
      <alignment/>
    </xf>
    <xf numFmtId="0" fontId="10" fillId="9" borderId="11" xfId="0" applyFont="1" applyFill="1" applyBorder="1" applyAlignment="1">
      <alignment horizontal="center"/>
    </xf>
    <xf numFmtId="0" fontId="10" fillId="10" borderId="13" xfId="0" applyFont="1" applyFill="1" applyBorder="1" applyAlignment="1">
      <alignment horizontal="left"/>
    </xf>
    <xf numFmtId="0" fontId="10" fillId="10" borderId="14" xfId="0" applyFont="1" applyFill="1" applyBorder="1" applyAlignment="1">
      <alignment/>
    </xf>
    <xf numFmtId="0" fontId="3" fillId="9" borderId="10" xfId="0" applyFont="1" applyFill="1" applyBorder="1" applyAlignment="1">
      <alignment horizontal="center"/>
    </xf>
    <xf numFmtId="168" fontId="3" fillId="9" borderId="10" xfId="0" applyNumberFormat="1" applyFont="1" applyFill="1" applyBorder="1" applyAlignment="1">
      <alignment horizontal="center"/>
    </xf>
    <xf numFmtId="0" fontId="10" fillId="9" borderId="12" xfId="0" applyFont="1" applyFill="1" applyBorder="1" applyAlignment="1">
      <alignment horizontal="center"/>
    </xf>
    <xf numFmtId="0" fontId="3" fillId="37" borderId="0" xfId="0" applyFont="1" applyFill="1" applyBorder="1" applyAlignment="1">
      <alignment/>
    </xf>
    <xf numFmtId="0" fontId="3" fillId="37" borderId="0" xfId="0" applyFont="1" applyFill="1" applyAlignment="1">
      <alignment/>
    </xf>
    <xf numFmtId="2" fontId="10" fillId="10" borderId="0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3" fillId="9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10" borderId="1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15" fillId="0" borderId="16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4" xfId="0" applyBorder="1" applyAlignment="1">
      <alignment/>
    </xf>
    <xf numFmtId="0" fontId="0" fillId="34" borderId="14" xfId="0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0" xfId="0" applyBorder="1" applyAlignment="1">
      <alignment/>
    </xf>
    <xf numFmtId="49" fontId="17" fillId="0" borderId="0" xfId="0" applyNumberFormat="1" applyFont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38" borderId="0" xfId="0" applyFill="1" applyBorder="1" applyAlignment="1">
      <alignment/>
    </xf>
    <xf numFmtId="0" fontId="0" fillId="38" borderId="0" xfId="0" applyFill="1" applyBorder="1" applyAlignment="1">
      <alignment horizontal="center"/>
    </xf>
    <xf numFmtId="0" fontId="0" fillId="15" borderId="0" xfId="0" applyFill="1" applyBorder="1" applyAlignment="1">
      <alignment horizontal="center"/>
    </xf>
    <xf numFmtId="0" fontId="0" fillId="15" borderId="10" xfId="0" applyFill="1" applyBorder="1" applyAlignment="1">
      <alignment horizontal="center"/>
    </xf>
    <xf numFmtId="0" fontId="0" fillId="34" borderId="10" xfId="0" applyFill="1" applyBorder="1" applyAlignment="1" applyProtection="1">
      <alignment horizontal="center"/>
      <protection locked="0"/>
    </xf>
    <xf numFmtId="0" fontId="0" fillId="34" borderId="10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15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9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35" borderId="23" xfId="0" applyFill="1" applyBorder="1" applyAlignment="1">
      <alignment horizontal="center"/>
    </xf>
    <xf numFmtId="0" fontId="0" fillId="35" borderId="23" xfId="0" applyFill="1" applyBorder="1" applyAlignment="1">
      <alignment/>
    </xf>
    <xf numFmtId="49" fontId="17" fillId="35" borderId="0" xfId="0" applyNumberFormat="1" applyFont="1" applyFill="1" applyBorder="1" applyAlignment="1">
      <alignment horizontal="center"/>
    </xf>
    <xf numFmtId="0" fontId="0" fillId="35" borderId="23" xfId="0" applyFill="1" applyBorder="1" applyAlignment="1">
      <alignment horizontal="right"/>
    </xf>
    <xf numFmtId="0" fontId="0" fillId="35" borderId="19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20" xfId="0" applyFill="1" applyBorder="1" applyAlignment="1">
      <alignment horizontal="left"/>
    </xf>
    <xf numFmtId="0" fontId="0" fillId="35" borderId="0" xfId="0" applyFill="1" applyBorder="1" applyAlignment="1">
      <alignment horizontal="center"/>
    </xf>
    <xf numFmtId="49" fontId="17" fillId="35" borderId="20" xfId="0" applyNumberFormat="1" applyFont="1" applyFill="1" applyBorder="1" applyAlignment="1">
      <alignment horizontal="center"/>
    </xf>
    <xf numFmtId="0" fontId="0" fillId="35" borderId="0" xfId="0" applyFill="1" applyBorder="1" applyAlignment="1">
      <alignment horizontal="left"/>
    </xf>
    <xf numFmtId="0" fontId="0" fillId="0" borderId="0" xfId="0" applyBorder="1" applyAlignment="1">
      <alignment horizontal="right"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24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34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0" xfId="0" applyFont="1" applyBorder="1" applyAlignment="1">
      <alignment/>
    </xf>
    <xf numFmtId="0" fontId="4" fillId="34" borderId="14" xfId="0" applyFont="1" applyFill="1" applyBorder="1" applyAlignment="1">
      <alignment/>
    </xf>
    <xf numFmtId="0" fontId="4" fillId="0" borderId="14" xfId="0" applyFont="1" applyFill="1" applyBorder="1" applyAlignment="1">
      <alignment horizontal="left"/>
    </xf>
    <xf numFmtId="0" fontId="19" fillId="0" borderId="14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34" borderId="10" xfId="0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34" borderId="10" xfId="0" applyFont="1" applyFill="1" applyBorder="1" applyAlignment="1">
      <alignment/>
    </xf>
    <xf numFmtId="164" fontId="4" fillId="34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34" borderId="26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49" fontId="17" fillId="0" borderId="25" xfId="0" applyNumberFormat="1" applyFont="1" applyBorder="1" applyAlignment="1">
      <alignment horizontal="center"/>
    </xf>
    <xf numFmtId="0" fontId="4" fillId="34" borderId="0" xfId="0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right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24" xfId="0" applyBorder="1" applyAlignment="1">
      <alignment/>
    </xf>
    <xf numFmtId="0" fontId="4" fillId="0" borderId="20" xfId="0" applyFont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0" fillId="8" borderId="14" xfId="0" applyFill="1" applyBorder="1" applyAlignment="1">
      <alignment/>
    </xf>
    <xf numFmtId="0" fontId="3" fillId="0" borderId="14" xfId="0" applyFont="1" applyBorder="1" applyAlignment="1">
      <alignment/>
    </xf>
    <xf numFmtId="0" fontId="3" fillId="33" borderId="0" xfId="0" applyFont="1" applyFill="1" applyAlignment="1">
      <alignment horizontal="right"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3" fillId="34" borderId="12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3" borderId="0" xfId="0" applyFont="1" applyFill="1" applyAlignment="1">
      <alignment horizontal="left"/>
    </xf>
    <xf numFmtId="0" fontId="4" fillId="0" borderId="27" xfId="0" applyFont="1" applyBorder="1" applyAlignment="1">
      <alignment horizontal="right"/>
    </xf>
    <xf numFmtId="0" fontId="4" fillId="34" borderId="28" xfId="0" applyFont="1" applyFill="1" applyBorder="1" applyAlignment="1">
      <alignment horizontal="center"/>
    </xf>
    <xf numFmtId="0" fontId="4" fillId="34" borderId="29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Fill="1" applyAlignment="1">
      <alignment/>
    </xf>
    <xf numFmtId="0" fontId="11" fillId="0" borderId="14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0" xfId="0" applyFont="1" applyAlignment="1">
      <alignment horizontal="center"/>
    </xf>
    <xf numFmtId="0" fontId="21" fillId="0" borderId="14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1" fillId="0" borderId="10" xfId="0" applyFont="1" applyBorder="1" applyAlignment="1">
      <alignment/>
    </xf>
    <xf numFmtId="49" fontId="6" fillId="0" borderId="14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11" fillId="34" borderId="11" xfId="0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4" fillId="39" borderId="10" xfId="0" applyFont="1" applyFill="1" applyBorder="1" applyAlignment="1">
      <alignment horizontal="right"/>
    </xf>
    <xf numFmtId="0" fontId="4" fillId="34" borderId="11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164" fontId="4" fillId="34" borderId="12" xfId="0" applyNumberFormat="1" applyFont="1" applyFill="1" applyBorder="1" applyAlignment="1">
      <alignment horizontal="center"/>
    </xf>
    <xf numFmtId="1" fontId="4" fillId="34" borderId="10" xfId="0" applyNumberFormat="1" applyFont="1" applyFill="1" applyBorder="1" applyAlignment="1">
      <alignment/>
    </xf>
    <xf numFmtId="0" fontId="11" fillId="40" borderId="0" xfId="0" applyFont="1" applyFill="1" applyAlignment="1">
      <alignment/>
    </xf>
    <xf numFmtId="0" fontId="11" fillId="40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30" xfId="0" applyBorder="1" applyAlignment="1">
      <alignment horizontal="right"/>
    </xf>
    <xf numFmtId="0" fontId="0" fillId="0" borderId="26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34" borderId="34" xfId="0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76" fillId="39" borderId="0" xfId="0" applyFont="1" applyFill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38" borderId="10" xfId="0" applyFont="1" applyFill="1" applyBorder="1" applyAlignment="1">
      <alignment horizontal="center"/>
    </xf>
    <xf numFmtId="0" fontId="0" fillId="34" borderId="31" xfId="0" applyFill="1" applyBorder="1" applyAlignment="1">
      <alignment horizontal="center"/>
    </xf>
    <xf numFmtId="0" fontId="0" fillId="34" borderId="32" xfId="0" applyFill="1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0" fillId="34" borderId="35" xfId="0" applyFill="1" applyBorder="1" applyAlignment="1">
      <alignment horizontal="center"/>
    </xf>
    <xf numFmtId="0" fontId="0" fillId="34" borderId="36" xfId="0" applyFill="1" applyBorder="1" applyAlignment="1">
      <alignment horizontal="center"/>
    </xf>
    <xf numFmtId="0" fontId="0" fillId="34" borderId="37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77" fillId="34" borderId="12" xfId="0" applyFont="1" applyFill="1" applyBorder="1" applyAlignment="1">
      <alignment horizontal="center"/>
    </xf>
    <xf numFmtId="0" fontId="77" fillId="34" borderId="34" xfId="0" applyFont="1" applyFill="1" applyBorder="1" applyAlignment="1">
      <alignment horizontal="center"/>
    </xf>
    <xf numFmtId="0" fontId="0" fillId="34" borderId="38" xfId="0" applyFill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78" fillId="39" borderId="0" xfId="0" applyFont="1" applyFill="1" applyAlignment="1">
      <alignment/>
    </xf>
    <xf numFmtId="0" fontId="79" fillId="39" borderId="0" xfId="0" applyFont="1" applyFill="1" applyAlignment="1">
      <alignment horizontal="center"/>
    </xf>
    <xf numFmtId="0" fontId="80" fillId="39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41" borderId="0" xfId="0" applyFill="1" applyAlignment="1">
      <alignment/>
    </xf>
    <xf numFmtId="0" fontId="0" fillId="41" borderId="0" xfId="0" applyFill="1" applyBorder="1" applyAlignment="1">
      <alignment/>
    </xf>
    <xf numFmtId="0" fontId="0" fillId="41" borderId="0" xfId="0" applyFont="1" applyFill="1" applyBorder="1" applyAlignment="1">
      <alignment horizontal="center"/>
    </xf>
    <xf numFmtId="2" fontId="0" fillId="34" borderId="10" xfId="0" applyNumberFormat="1" applyFill="1" applyBorder="1" applyAlignment="1">
      <alignment horizontal="center"/>
    </xf>
    <xf numFmtId="2" fontId="0" fillId="34" borderId="10" xfId="0" applyNumberFormat="1" applyFill="1" applyBorder="1" applyAlignment="1">
      <alignment/>
    </xf>
    <xf numFmtId="16" fontId="3" fillId="0" borderId="0" xfId="0" applyNumberFormat="1" applyFont="1" applyAlignment="1">
      <alignment/>
    </xf>
    <xf numFmtId="0" fontId="3" fillId="33" borderId="26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34" borderId="34" xfId="0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81" fillId="39" borderId="0" xfId="0" applyFont="1" applyFill="1" applyAlignment="1">
      <alignment horizontal="center"/>
    </xf>
    <xf numFmtId="0" fontId="82" fillId="39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39" borderId="10" xfId="0" applyFont="1" applyFill="1" applyBorder="1" applyAlignment="1">
      <alignment horizontal="center"/>
    </xf>
    <xf numFmtId="164" fontId="3" fillId="34" borderId="31" xfId="0" applyNumberFormat="1" applyFont="1" applyFill="1" applyBorder="1" applyAlignment="1">
      <alignment horizontal="center"/>
    </xf>
    <xf numFmtId="164" fontId="3" fillId="34" borderId="32" xfId="0" applyNumberFormat="1" applyFont="1" applyFill="1" applyBorder="1" applyAlignment="1">
      <alignment horizontal="center"/>
    </xf>
    <xf numFmtId="164" fontId="3" fillId="34" borderId="33" xfId="0" applyNumberFormat="1" applyFont="1" applyFill="1" applyBorder="1" applyAlignment="1">
      <alignment horizontal="center"/>
    </xf>
    <xf numFmtId="0" fontId="83" fillId="34" borderId="34" xfId="0" applyFont="1" applyFill="1" applyBorder="1" applyAlignment="1">
      <alignment horizontal="center"/>
    </xf>
    <xf numFmtId="164" fontId="3" fillId="34" borderId="35" xfId="0" applyNumberFormat="1" applyFont="1" applyFill="1" applyBorder="1" applyAlignment="1">
      <alignment horizontal="center"/>
    </xf>
    <xf numFmtId="164" fontId="3" fillId="34" borderId="10" xfId="0" applyNumberFormat="1" applyFont="1" applyFill="1" applyBorder="1" applyAlignment="1">
      <alignment horizontal="center"/>
    </xf>
    <xf numFmtId="164" fontId="3" fillId="34" borderId="36" xfId="0" applyNumberFormat="1" applyFont="1" applyFill="1" applyBorder="1" applyAlignment="1">
      <alignment horizontal="center"/>
    </xf>
    <xf numFmtId="164" fontId="3" fillId="34" borderId="37" xfId="0" applyNumberFormat="1" applyFont="1" applyFill="1" applyBorder="1" applyAlignment="1">
      <alignment horizontal="center"/>
    </xf>
    <xf numFmtId="164" fontId="3" fillId="34" borderId="11" xfId="0" applyNumberFormat="1" applyFont="1" applyFill="1" applyBorder="1" applyAlignment="1">
      <alignment horizontal="center"/>
    </xf>
    <xf numFmtId="164" fontId="3" fillId="34" borderId="38" xfId="0" applyNumberFormat="1" applyFont="1" applyFill="1" applyBorder="1" applyAlignment="1">
      <alignment horizontal="center"/>
    </xf>
    <xf numFmtId="0" fontId="83" fillId="34" borderId="12" xfId="0" applyFont="1" applyFill="1" applyBorder="1" applyAlignment="1">
      <alignment horizontal="center"/>
    </xf>
    <xf numFmtId="0" fontId="84" fillId="39" borderId="0" xfId="0" applyFont="1" applyFill="1" applyAlignment="1">
      <alignment horizontal="center"/>
    </xf>
    <xf numFmtId="0" fontId="3" fillId="33" borderId="3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left"/>
    </xf>
    <xf numFmtId="0" fontId="81" fillId="33" borderId="0" xfId="0" applyFont="1" applyFill="1" applyAlignment="1">
      <alignment horizontal="center"/>
    </xf>
    <xf numFmtId="0" fontId="1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0" borderId="10" xfId="0" applyFont="1" applyFill="1" applyBorder="1" applyAlignment="1">
      <alignment horizontal="right"/>
    </xf>
    <xf numFmtId="0" fontId="3" fillId="38" borderId="10" xfId="0" applyFont="1" applyFill="1" applyBorder="1" applyAlignment="1">
      <alignment horizontal="center"/>
    </xf>
    <xf numFmtId="0" fontId="3" fillId="34" borderId="39" xfId="0" applyFont="1" applyFill="1" applyBorder="1" applyAlignment="1">
      <alignment/>
    </xf>
    <xf numFmtId="0" fontId="3" fillId="34" borderId="40" xfId="0" applyFont="1" applyFill="1" applyBorder="1" applyAlignment="1">
      <alignment/>
    </xf>
    <xf numFmtId="0" fontId="3" fillId="34" borderId="41" xfId="0" applyFont="1" applyFill="1" applyBorder="1" applyAlignment="1">
      <alignment/>
    </xf>
    <xf numFmtId="0" fontId="3" fillId="0" borderId="10" xfId="0" applyFont="1" applyBorder="1" applyAlignment="1">
      <alignment horizontal="right"/>
    </xf>
    <xf numFmtId="0" fontId="3" fillId="34" borderId="42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43" xfId="0" applyFont="1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0" fontId="3" fillId="34" borderId="44" xfId="0" applyFont="1" applyFill="1" applyBorder="1" applyAlignment="1">
      <alignment/>
    </xf>
    <xf numFmtId="0" fontId="3" fillId="34" borderId="23" xfId="0" applyFont="1" applyFill="1" applyBorder="1" applyAlignment="1">
      <alignment/>
    </xf>
    <xf numFmtId="0" fontId="3" fillId="34" borderId="45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Border="1" applyAlignment="1">
      <alignment/>
    </xf>
    <xf numFmtId="0" fontId="3" fillId="38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68" fontId="3" fillId="34" borderId="10" xfId="0" applyNumberFormat="1" applyFont="1" applyFill="1" applyBorder="1" applyAlignment="1">
      <alignment horizontal="center"/>
    </xf>
    <xf numFmtId="164" fontId="3" fillId="34" borderId="10" xfId="0" applyNumberFormat="1" applyFont="1" applyFill="1" applyBorder="1" applyAlignment="1">
      <alignment/>
    </xf>
    <xf numFmtId="168" fontId="3" fillId="34" borderId="10" xfId="0" applyNumberFormat="1" applyFont="1" applyFill="1" applyBorder="1" applyAlignment="1">
      <alignment/>
    </xf>
    <xf numFmtId="0" fontId="3" fillId="0" borderId="26" xfId="0" applyFont="1" applyBorder="1" applyAlignment="1">
      <alignment horizontal="right"/>
    </xf>
    <xf numFmtId="0" fontId="3" fillId="0" borderId="30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34" xfId="0" applyFont="1" applyBorder="1" applyAlignment="1">
      <alignment horizontal="right"/>
    </xf>
    <xf numFmtId="0" fontId="3" fillId="0" borderId="17" xfId="0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30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right"/>
    </xf>
    <xf numFmtId="0" fontId="3" fillId="0" borderId="34" xfId="0" applyFont="1" applyFill="1" applyBorder="1" applyAlignment="1">
      <alignment horizontal="left"/>
    </xf>
    <xf numFmtId="0" fontId="3" fillId="0" borderId="20" xfId="0" applyFont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24" xfId="0" applyFont="1" applyFill="1" applyBorder="1" applyAlignment="1">
      <alignment/>
    </xf>
    <xf numFmtId="0" fontId="3" fillId="33" borderId="30" xfId="0" applyFont="1" applyFill="1" applyBorder="1" applyAlignment="1">
      <alignment horizontal="center"/>
    </xf>
    <xf numFmtId="0" fontId="3" fillId="33" borderId="46" xfId="0" applyFont="1" applyFill="1" applyBorder="1" applyAlignment="1">
      <alignment horizontal="left"/>
    </xf>
    <xf numFmtId="0" fontId="3" fillId="33" borderId="20" xfId="0" applyFont="1" applyFill="1" applyBorder="1" applyAlignment="1">
      <alignment/>
    </xf>
    <xf numFmtId="0" fontId="3" fillId="33" borderId="30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4" borderId="43" xfId="0" applyFont="1" applyFill="1" applyBorder="1" applyAlignment="1">
      <alignment horizontal="center"/>
    </xf>
    <xf numFmtId="0" fontId="3" fillId="34" borderId="45" xfId="0" applyFont="1" applyFill="1" applyBorder="1" applyAlignment="1">
      <alignment horizontal="center"/>
    </xf>
    <xf numFmtId="0" fontId="3" fillId="33" borderId="47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2" fillId="0" borderId="0" xfId="0" applyFont="1" applyAlignment="1">
      <alignment/>
    </xf>
    <xf numFmtId="166" fontId="3" fillId="34" borderId="10" xfId="0" applyNumberFormat="1" applyFont="1" applyFill="1" applyBorder="1" applyAlignment="1">
      <alignment/>
    </xf>
    <xf numFmtId="0" fontId="12" fillId="33" borderId="10" xfId="0" applyFont="1" applyFill="1" applyBorder="1" applyAlignment="1">
      <alignment horizontal="center"/>
    </xf>
    <xf numFmtId="0" fontId="84" fillId="42" borderId="0" xfId="0" applyFont="1" applyFill="1" applyAlignment="1">
      <alignment/>
    </xf>
    <xf numFmtId="0" fontId="3" fillId="42" borderId="0" xfId="0" applyFont="1" applyFill="1" applyAlignment="1">
      <alignment/>
    </xf>
    <xf numFmtId="2" fontId="3" fillId="0" borderId="0" xfId="0" applyNumberFormat="1" applyFont="1" applyAlignment="1">
      <alignment horizontal="center"/>
    </xf>
    <xf numFmtId="2" fontId="3" fillId="42" borderId="0" xfId="0" applyNumberFormat="1" applyFont="1" applyFill="1" applyAlignment="1">
      <alignment horizontal="center"/>
    </xf>
    <xf numFmtId="2" fontId="12" fillId="0" borderId="0" xfId="0" applyNumberFormat="1" applyFont="1" applyAlignment="1">
      <alignment horizontal="center"/>
    </xf>
    <xf numFmtId="0" fontId="3" fillId="42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3" fillId="34" borderId="30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43" borderId="0" xfId="0" applyFont="1" applyFill="1" applyAlignment="1">
      <alignment/>
    </xf>
    <xf numFmtId="0" fontId="4" fillId="43" borderId="0" xfId="0" applyFont="1" applyFill="1" applyAlignment="1">
      <alignment/>
    </xf>
    <xf numFmtId="0" fontId="3" fillId="44" borderId="0" xfId="0" applyFont="1" applyFill="1" applyAlignment="1">
      <alignment/>
    </xf>
    <xf numFmtId="0" fontId="5" fillId="44" borderId="0" xfId="0" applyFont="1" applyFill="1" applyAlignment="1">
      <alignment/>
    </xf>
    <xf numFmtId="0" fontId="4" fillId="44" borderId="0" xfId="0" applyFont="1" applyFill="1" applyBorder="1" applyAlignment="1">
      <alignment horizontal="left"/>
    </xf>
    <xf numFmtId="0" fontId="4" fillId="44" borderId="0" xfId="0" applyFont="1" applyFill="1" applyBorder="1" applyAlignment="1">
      <alignment/>
    </xf>
    <xf numFmtId="0" fontId="6" fillId="44" borderId="0" xfId="0" applyFont="1" applyFill="1" applyBorder="1" applyAlignment="1">
      <alignment/>
    </xf>
    <xf numFmtId="0" fontId="4" fillId="44" borderId="0" xfId="0" applyFont="1" applyFill="1" applyAlignment="1">
      <alignment/>
    </xf>
    <xf numFmtId="0" fontId="6" fillId="44" borderId="0" xfId="0" applyFont="1" applyFill="1" applyBorder="1" applyAlignment="1">
      <alignment horizontal="left" indent="1"/>
    </xf>
    <xf numFmtId="0" fontId="4" fillId="44" borderId="14" xfId="0" applyFont="1" applyFill="1" applyBorder="1" applyAlignment="1">
      <alignment horizontal="right"/>
    </xf>
    <xf numFmtId="0" fontId="4" fillId="44" borderId="14" xfId="0" applyFont="1" applyFill="1" applyBorder="1" applyAlignment="1">
      <alignment/>
    </xf>
    <xf numFmtId="0" fontId="4" fillId="44" borderId="14" xfId="0" applyFont="1" applyFill="1" applyBorder="1" applyAlignment="1">
      <alignment horizontal="left"/>
    </xf>
    <xf numFmtId="0" fontId="3" fillId="44" borderId="14" xfId="0" applyFont="1" applyFill="1" applyBorder="1" applyAlignment="1">
      <alignment/>
    </xf>
    <xf numFmtId="0" fontId="4" fillId="44" borderId="0" xfId="0" applyFont="1" applyFill="1" applyAlignment="1">
      <alignment horizontal="right"/>
    </xf>
    <xf numFmtId="0" fontId="4" fillId="44" borderId="0" xfId="0" applyFont="1" applyFill="1" applyAlignment="1">
      <alignment horizontal="left"/>
    </xf>
    <xf numFmtId="0" fontId="4" fillId="44" borderId="0" xfId="0" applyFont="1" applyFill="1" applyBorder="1" applyAlignment="1">
      <alignment horizontal="right"/>
    </xf>
    <xf numFmtId="0" fontId="9" fillId="16" borderId="27" xfId="0" applyFont="1" applyFill="1" applyBorder="1" applyAlignment="1">
      <alignment/>
    </xf>
    <xf numFmtId="0" fontId="4" fillId="16" borderId="25" xfId="0" applyFont="1" applyFill="1" applyBorder="1" applyAlignment="1">
      <alignment horizontal="left"/>
    </xf>
    <xf numFmtId="0" fontId="4" fillId="16" borderId="25" xfId="0" applyFont="1" applyFill="1" applyBorder="1" applyAlignment="1">
      <alignment/>
    </xf>
    <xf numFmtId="0" fontId="4" fillId="16" borderId="48" xfId="0" applyFont="1" applyFill="1" applyBorder="1" applyAlignment="1">
      <alignment/>
    </xf>
    <xf numFmtId="0" fontId="3" fillId="16" borderId="25" xfId="0" applyFont="1" applyFill="1" applyBorder="1" applyAlignment="1">
      <alignment/>
    </xf>
    <xf numFmtId="0" fontId="6" fillId="16" borderId="48" xfId="0" applyFont="1" applyFill="1" applyBorder="1" applyAlignment="1">
      <alignment horizontal="left" indent="1"/>
    </xf>
    <xf numFmtId="0" fontId="3" fillId="34" borderId="31" xfId="0" applyFont="1" applyFill="1" applyBorder="1" applyAlignment="1">
      <alignment horizontal="center"/>
    </xf>
    <xf numFmtId="0" fontId="4" fillId="34" borderId="31" xfId="0" applyNumberFormat="1" applyFont="1" applyFill="1" applyBorder="1" applyAlignment="1">
      <alignment horizontal="center"/>
    </xf>
    <xf numFmtId="0" fontId="3" fillId="38" borderId="31" xfId="0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8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center"/>
    </xf>
    <xf numFmtId="0" fontId="3" fillId="43" borderId="0" xfId="0" applyFont="1" applyFill="1" applyBorder="1" applyAlignment="1">
      <alignment horizontal="center"/>
    </xf>
    <xf numFmtId="0" fontId="4" fillId="43" borderId="0" xfId="0" applyNumberFormat="1" applyFont="1" applyFill="1" applyBorder="1" applyAlignment="1">
      <alignment horizontal="center"/>
    </xf>
    <xf numFmtId="0" fontId="86" fillId="0" borderId="0" xfId="0" applyFont="1" applyFill="1" applyBorder="1" applyAlignment="1">
      <alignment horizontal="center"/>
    </xf>
    <xf numFmtId="0" fontId="86" fillId="43" borderId="0" xfId="0" applyFont="1" applyFill="1" applyAlignment="1">
      <alignment/>
    </xf>
    <xf numFmtId="0" fontId="86" fillId="43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right"/>
    </xf>
    <xf numFmtId="0" fontId="3" fillId="34" borderId="10" xfId="0" applyFont="1" applyFill="1" applyBorder="1" applyAlignment="1">
      <alignment horizontal="right"/>
    </xf>
    <xf numFmtId="0" fontId="3" fillId="33" borderId="0" xfId="0" applyFont="1" applyFill="1" applyAlignment="1">
      <alignment/>
    </xf>
    <xf numFmtId="0" fontId="3" fillId="34" borderId="41" xfId="0" applyFont="1" applyFill="1" applyBorder="1" applyAlignment="1">
      <alignment horizontal="center"/>
    </xf>
    <xf numFmtId="0" fontId="3" fillId="34" borderId="26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1" fontId="3" fillId="38" borderId="10" xfId="0" applyNumberFormat="1" applyFont="1" applyFill="1" applyBorder="1" applyAlignment="1">
      <alignment horizontal="center"/>
    </xf>
    <xf numFmtId="0" fontId="3" fillId="45" borderId="0" xfId="0" applyFont="1" applyFill="1" applyBorder="1" applyAlignment="1">
      <alignment horizontal="center"/>
    </xf>
    <xf numFmtId="0" fontId="3" fillId="45" borderId="0" xfId="0" applyFont="1" applyFill="1" applyAlignment="1">
      <alignment/>
    </xf>
    <xf numFmtId="0" fontId="4" fillId="45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" fontId="4" fillId="0" borderId="0" xfId="0" applyNumberFormat="1" applyFont="1" applyFill="1" applyBorder="1" applyAlignment="1">
      <alignment horizontal="right"/>
    </xf>
    <xf numFmtId="0" fontId="3" fillId="45" borderId="0" xfId="0" applyFont="1" applyFill="1" applyAlignment="1">
      <alignment horizontal="right"/>
    </xf>
    <xf numFmtId="0" fontId="3" fillId="45" borderId="0" xfId="0" applyFont="1" applyFill="1" applyBorder="1" applyAlignment="1">
      <alignment horizontal="right"/>
    </xf>
    <xf numFmtId="0" fontId="86" fillId="0" borderId="0" xfId="0" applyFont="1" applyFill="1" applyAlignment="1">
      <alignment/>
    </xf>
    <xf numFmtId="0" fontId="3" fillId="43" borderId="0" xfId="0" applyFont="1" applyFill="1" applyBorder="1" applyAlignment="1">
      <alignment horizontal="right"/>
    </xf>
    <xf numFmtId="1" fontId="3" fillId="43" borderId="0" xfId="0" applyNumberFormat="1" applyFont="1" applyFill="1" applyBorder="1" applyAlignment="1">
      <alignment horizontal="center"/>
    </xf>
    <xf numFmtId="1" fontId="3" fillId="33" borderId="0" xfId="0" applyNumberFormat="1" applyFont="1" applyFill="1" applyBorder="1" applyAlignment="1">
      <alignment horizontal="center"/>
    </xf>
    <xf numFmtId="0" fontId="86" fillId="0" borderId="0" xfId="0" applyFont="1" applyFill="1" applyBorder="1" applyAlignment="1">
      <alignment horizontal="right"/>
    </xf>
    <xf numFmtId="0" fontId="4" fillId="33" borderId="0" xfId="0" applyFont="1" applyFill="1" applyAlignment="1">
      <alignment/>
    </xf>
    <xf numFmtId="0" fontId="4" fillId="33" borderId="0" xfId="0" applyNumberFormat="1" applyFont="1" applyFill="1" applyBorder="1" applyAlignment="1">
      <alignment horizontal="right"/>
    </xf>
    <xf numFmtId="0" fontId="4" fillId="33" borderId="0" xfId="0" applyNumberFormat="1" applyFont="1" applyFill="1" applyBorder="1" applyAlignment="1">
      <alignment horizontal="center"/>
    </xf>
    <xf numFmtId="0" fontId="12" fillId="33" borderId="0" xfId="0" applyFont="1" applyFill="1" applyBorder="1" applyAlignment="1">
      <alignment horizontal="right"/>
    </xf>
    <xf numFmtId="0" fontId="4" fillId="33" borderId="0" xfId="0" applyFont="1" applyFill="1" applyAlignment="1">
      <alignment horizontal="right"/>
    </xf>
    <xf numFmtId="0" fontId="85" fillId="33" borderId="0" xfId="0" applyFont="1" applyFill="1" applyBorder="1" applyAlignment="1">
      <alignment horizontal="left"/>
    </xf>
    <xf numFmtId="0" fontId="4" fillId="33" borderId="0" xfId="0" applyFont="1" applyFill="1" applyAlignment="1">
      <alignment horizontal="center"/>
    </xf>
    <xf numFmtId="0" fontId="4" fillId="45" borderId="0" xfId="0" applyFont="1" applyFill="1" applyAlignment="1">
      <alignment horizontal="center"/>
    </xf>
    <xf numFmtId="0" fontId="4" fillId="43" borderId="0" xfId="0" applyFont="1" applyFill="1" applyAlignment="1">
      <alignment horizontal="center"/>
    </xf>
    <xf numFmtId="164" fontId="3" fillId="43" borderId="0" xfId="0" applyNumberFormat="1" applyFont="1" applyFill="1" applyBorder="1" applyAlignment="1">
      <alignment horizontal="center"/>
    </xf>
    <xf numFmtId="0" fontId="4" fillId="37" borderId="31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1" fontId="4" fillId="45" borderId="0" xfId="0" applyNumberFormat="1" applyFont="1" applyFill="1" applyBorder="1" applyAlignment="1">
      <alignment horizontal="right"/>
    </xf>
    <xf numFmtId="0" fontId="4" fillId="45" borderId="0" xfId="0" applyNumberFormat="1" applyFont="1" applyFill="1" applyBorder="1" applyAlignment="1">
      <alignment horizontal="right"/>
    </xf>
    <xf numFmtId="0" fontId="3" fillId="45" borderId="0" xfId="0" applyFont="1" applyFill="1" applyBorder="1" applyAlignment="1">
      <alignment/>
    </xf>
    <xf numFmtId="0" fontId="4" fillId="37" borderId="10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4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1" fillId="0" borderId="0" xfId="0" applyFont="1" applyAlignment="1">
      <alignment horizontal="right"/>
    </xf>
    <xf numFmtId="0" fontId="0" fillId="43" borderId="0" xfId="0" applyFill="1" applyAlignment="1">
      <alignment/>
    </xf>
    <xf numFmtId="0" fontId="3" fillId="38" borderId="49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0" fontId="27" fillId="43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87" fillId="0" borderId="0" xfId="0" applyFont="1" applyFill="1" applyAlignment="1">
      <alignment/>
    </xf>
    <xf numFmtId="2" fontId="11" fillId="34" borderId="10" xfId="0" applyNumberFormat="1" applyFont="1" applyFill="1" applyBorder="1" applyAlignment="1">
      <alignment horizontal="center"/>
    </xf>
    <xf numFmtId="2" fontId="11" fillId="0" borderId="0" xfId="0" applyNumberFormat="1" applyFont="1" applyAlignment="1">
      <alignment/>
    </xf>
    <xf numFmtId="0" fontId="87" fillId="0" borderId="0" xfId="0" applyFont="1" applyAlignment="1">
      <alignment/>
    </xf>
    <xf numFmtId="0" fontId="27" fillId="33" borderId="0" xfId="0" applyFont="1" applyFill="1" applyAlignment="1">
      <alignment/>
    </xf>
    <xf numFmtId="0" fontId="87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4" fillId="33" borderId="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11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45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right"/>
    </xf>
    <xf numFmtId="0" fontId="3" fillId="33" borderId="49" xfId="0" applyFont="1" applyFill="1" applyBorder="1" applyAlignment="1">
      <alignment horizontal="center"/>
    </xf>
    <xf numFmtId="0" fontId="3" fillId="33" borderId="41" xfId="0" applyFont="1" applyFill="1" applyBorder="1" applyAlignment="1">
      <alignment horizontal="center"/>
    </xf>
    <xf numFmtId="0" fontId="11" fillId="33" borderId="0" xfId="0" applyFont="1" applyFill="1" applyAlignment="1">
      <alignment horizontal="center"/>
    </xf>
    <xf numFmtId="0" fontId="11" fillId="33" borderId="0" xfId="0" applyFont="1" applyFill="1" applyAlignment="1">
      <alignment horizontal="right"/>
    </xf>
    <xf numFmtId="0" fontId="11" fillId="33" borderId="10" xfId="0" applyFont="1" applyFill="1" applyBorder="1" applyAlignment="1">
      <alignment horizontal="center"/>
    </xf>
    <xf numFmtId="2" fontId="11" fillId="33" borderId="10" xfId="0" applyNumberFormat="1" applyFont="1" applyFill="1" applyBorder="1" applyAlignment="1">
      <alignment horizontal="center"/>
    </xf>
    <xf numFmtId="2" fontId="11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3" fillId="38" borderId="0" xfId="0" applyFont="1" applyFill="1" applyBorder="1" applyAlignment="1">
      <alignment horizontal="center"/>
    </xf>
    <xf numFmtId="0" fontId="3" fillId="38" borderId="50" xfId="0" applyFont="1" applyFill="1" applyBorder="1" applyAlignment="1">
      <alignment horizontal="center"/>
    </xf>
    <xf numFmtId="0" fontId="3" fillId="38" borderId="51" xfId="0" applyFont="1" applyFill="1" applyBorder="1" applyAlignment="1">
      <alignment horizontal="center"/>
    </xf>
    <xf numFmtId="0" fontId="3" fillId="38" borderId="52" xfId="0" applyFont="1" applyFill="1" applyBorder="1" applyAlignment="1">
      <alignment horizontal="center"/>
    </xf>
    <xf numFmtId="0" fontId="87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3" fillId="38" borderId="53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84" fillId="0" borderId="0" xfId="0" applyFont="1" applyFill="1" applyBorder="1" applyAlignment="1">
      <alignment horizontal="left"/>
    </xf>
    <xf numFmtId="0" fontId="87" fillId="0" borderId="0" xfId="0" applyFont="1" applyFill="1" applyBorder="1" applyAlignment="1">
      <alignment horizontal="left"/>
    </xf>
    <xf numFmtId="0" fontId="27" fillId="43" borderId="0" xfId="0" applyFont="1" applyFill="1" applyBorder="1" applyAlignment="1">
      <alignment/>
    </xf>
    <xf numFmtId="0" fontId="0" fillId="43" borderId="0" xfId="0" applyFill="1" applyBorder="1" applyAlignment="1">
      <alignment/>
    </xf>
    <xf numFmtId="0" fontId="11" fillId="43" borderId="0" xfId="0" applyFont="1" applyFill="1" applyBorder="1" applyAlignment="1">
      <alignment horizontal="right"/>
    </xf>
    <xf numFmtId="168" fontId="0" fillId="34" borderId="10" xfId="0" applyNumberFormat="1" applyFill="1" applyBorder="1" applyAlignment="1">
      <alignment/>
    </xf>
    <xf numFmtId="168" fontId="0" fillId="34" borderId="10" xfId="0" applyNumberFormat="1" applyFill="1" applyBorder="1" applyAlignment="1">
      <alignment horizontal="center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34" borderId="10" xfId="0" applyFont="1" applyFill="1" applyBorder="1" applyAlignment="1">
      <alignment horizontal="right"/>
    </xf>
    <xf numFmtId="0" fontId="3" fillId="39" borderId="26" xfId="0" applyFont="1" applyFill="1" applyBorder="1" applyAlignment="1">
      <alignment horizontal="center"/>
    </xf>
    <xf numFmtId="0" fontId="4" fillId="39" borderId="0" xfId="0" applyFont="1" applyFill="1" applyBorder="1" applyAlignment="1">
      <alignment/>
    </xf>
    <xf numFmtId="0" fontId="4" fillId="39" borderId="0" xfId="0" applyFont="1" applyFill="1" applyBorder="1" applyAlignment="1">
      <alignment horizontal="left"/>
    </xf>
    <xf numFmtId="0" fontId="4" fillId="39" borderId="0" xfId="0" applyFont="1" applyFill="1" applyBorder="1" applyAlignment="1">
      <alignment horizontal="right"/>
    </xf>
    <xf numFmtId="0" fontId="3" fillId="46" borderId="10" xfId="0" applyFont="1" applyFill="1" applyBorder="1" applyAlignment="1">
      <alignment horizontal="center"/>
    </xf>
    <xf numFmtId="0" fontId="0" fillId="46" borderId="0" xfId="0" applyFont="1" applyFill="1" applyBorder="1" applyAlignment="1">
      <alignment/>
    </xf>
    <xf numFmtId="0" fontId="4" fillId="46" borderId="0" xfId="0" applyFont="1" applyFill="1" applyBorder="1" applyAlignment="1">
      <alignment/>
    </xf>
    <xf numFmtId="1" fontId="58" fillId="34" borderId="10" xfId="0" applyNumberFormat="1" applyFont="1" applyFill="1" applyBorder="1" applyAlignment="1">
      <alignment horizontal="center"/>
    </xf>
    <xf numFmtId="0" fontId="4" fillId="46" borderId="0" xfId="0" applyFont="1" applyFill="1" applyBorder="1" applyAlignment="1">
      <alignment horizontal="right"/>
    </xf>
    <xf numFmtId="0" fontId="27" fillId="46" borderId="0" xfId="0" applyFont="1" applyFill="1" applyBorder="1" applyAlignment="1">
      <alignment/>
    </xf>
    <xf numFmtId="0" fontId="27" fillId="33" borderId="0" xfId="0" applyFont="1" applyFill="1" applyBorder="1" applyAlignment="1">
      <alignment/>
    </xf>
    <xf numFmtId="0" fontId="87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right"/>
    </xf>
    <xf numFmtId="0" fontId="3" fillId="33" borderId="53" xfId="0" applyFont="1" applyFill="1" applyBorder="1" applyAlignment="1">
      <alignment horizontal="center"/>
    </xf>
    <xf numFmtId="0" fontId="3" fillId="33" borderId="50" xfId="0" applyFont="1" applyFill="1" applyBorder="1" applyAlignment="1">
      <alignment horizontal="center"/>
    </xf>
    <xf numFmtId="0" fontId="84" fillId="33" borderId="0" xfId="0" applyFont="1" applyFill="1" applyBorder="1" applyAlignment="1">
      <alignment horizontal="left"/>
    </xf>
    <xf numFmtId="0" fontId="87" fillId="33" borderId="0" xfId="0" applyFont="1" applyFill="1" applyBorder="1" applyAlignment="1">
      <alignment horizontal="left"/>
    </xf>
    <xf numFmtId="0" fontId="3" fillId="33" borderId="51" xfId="0" applyFont="1" applyFill="1" applyBorder="1" applyAlignment="1">
      <alignment horizontal="center"/>
    </xf>
    <xf numFmtId="168" fontId="3" fillId="33" borderId="10" xfId="0" applyNumberFormat="1" applyFont="1" applyFill="1" applyBorder="1" applyAlignment="1">
      <alignment horizontal="center"/>
    </xf>
    <xf numFmtId="0" fontId="12" fillId="33" borderId="0" xfId="0" applyFont="1" applyFill="1" applyBorder="1" applyAlignment="1">
      <alignment/>
    </xf>
    <xf numFmtId="0" fontId="3" fillId="47" borderId="0" xfId="0" applyFont="1" applyFill="1" applyBorder="1" applyAlignment="1">
      <alignment horizontal="center"/>
    </xf>
    <xf numFmtId="0" fontId="4" fillId="47" borderId="0" xfId="0" applyFont="1" applyFill="1" applyAlignment="1">
      <alignment/>
    </xf>
    <xf numFmtId="0" fontId="3" fillId="47" borderId="0" xfId="0" applyFont="1" applyFill="1" applyBorder="1" applyAlignment="1">
      <alignment horizontal="right"/>
    </xf>
    <xf numFmtId="0" fontId="3" fillId="47" borderId="0" xfId="0" applyFont="1" applyFill="1" applyBorder="1" applyAlignment="1">
      <alignment/>
    </xf>
    <xf numFmtId="0" fontId="3" fillId="47" borderId="0" xfId="0" applyFont="1" applyFill="1" applyAlignment="1">
      <alignment/>
    </xf>
    <xf numFmtId="0" fontId="4" fillId="47" borderId="0" xfId="0" applyFont="1" applyFill="1" applyBorder="1" applyAlignment="1">
      <alignment horizontal="right"/>
    </xf>
    <xf numFmtId="0" fontId="4" fillId="0" borderId="24" xfId="0" applyFont="1" applyBorder="1" applyAlignment="1">
      <alignment/>
    </xf>
    <xf numFmtId="2" fontId="4" fillId="0" borderId="21" xfId="0" applyNumberFormat="1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51" xfId="0" applyFont="1" applyBorder="1" applyAlignment="1">
      <alignment/>
    </xf>
    <xf numFmtId="0" fontId="4" fillId="0" borderId="54" xfId="0" applyFont="1" applyBorder="1" applyAlignment="1">
      <alignment/>
    </xf>
    <xf numFmtId="0" fontId="4" fillId="0" borderId="55" xfId="0" applyFont="1" applyBorder="1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.03675"/>
          <c:w val="0.9445"/>
          <c:h val="0.92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'correlation coefficient'!$B$3:$B$12</c:f>
              <c:numCache/>
            </c:numRef>
          </c:xVal>
          <c:yVal>
            <c:numRef>
              <c:f>'correlation coefficient'!$C$3:$C$12</c:f>
              <c:numCache/>
            </c:numRef>
          </c:yVal>
          <c:smooth val="0"/>
        </c:ser>
        <c:axId val="57506568"/>
        <c:axId val="47797065"/>
      </c:scatterChart>
      <c:valAx>
        <c:axId val="57506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797065"/>
        <c:crosses val="autoZero"/>
        <c:crossBetween val="midCat"/>
        <c:dispUnits/>
      </c:valAx>
      <c:valAx>
        <c:axId val="477970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50656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0.emf" /><Relationship Id="rId2" Type="http://schemas.openxmlformats.org/officeDocument/2006/relationships/image" Target="../media/image4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2.png" /><Relationship Id="rId2" Type="http://schemas.openxmlformats.org/officeDocument/2006/relationships/image" Target="../media/image43.png" /><Relationship Id="rId3" Type="http://schemas.openxmlformats.org/officeDocument/2006/relationships/image" Target="../media/image44.png" /><Relationship Id="rId4" Type="http://schemas.openxmlformats.org/officeDocument/2006/relationships/image" Target="../media/image41.emf" /><Relationship Id="rId5" Type="http://schemas.openxmlformats.org/officeDocument/2006/relationships/image" Target="../media/image45.png" /><Relationship Id="rId6" Type="http://schemas.openxmlformats.org/officeDocument/2006/relationships/image" Target="../media/image46.png" /><Relationship Id="rId7" Type="http://schemas.openxmlformats.org/officeDocument/2006/relationships/image" Target="../media/image47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1.emf" /><Relationship Id="rId2" Type="http://schemas.openxmlformats.org/officeDocument/2006/relationships/image" Target="../media/image46.png" /><Relationship Id="rId3" Type="http://schemas.openxmlformats.org/officeDocument/2006/relationships/image" Target="../media/image48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42.png" /><Relationship Id="rId2" Type="http://schemas.openxmlformats.org/officeDocument/2006/relationships/image" Target="../media/image4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17.emf" /><Relationship Id="rId3" Type="http://schemas.openxmlformats.org/officeDocument/2006/relationships/image" Target="../media/image18.emf" /><Relationship Id="rId4" Type="http://schemas.openxmlformats.org/officeDocument/2006/relationships/image" Target="../media/image9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9.png" /><Relationship Id="rId3" Type="http://schemas.openxmlformats.org/officeDocument/2006/relationships/image" Target="../media/image10.emf" /><Relationship Id="rId4" Type="http://schemas.openxmlformats.org/officeDocument/2006/relationships/image" Target="../media/image1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Relationship Id="rId2" Type="http://schemas.openxmlformats.org/officeDocument/2006/relationships/image" Target="../media/image19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1.png" /><Relationship Id="rId2" Type="http://schemas.openxmlformats.org/officeDocument/2006/relationships/image" Target="../media/image22.emf" /><Relationship Id="rId3" Type="http://schemas.openxmlformats.org/officeDocument/2006/relationships/image" Target="../media/image5.png" /><Relationship Id="rId4" Type="http://schemas.openxmlformats.org/officeDocument/2006/relationships/image" Target="../media/image23.emf" /><Relationship Id="rId5" Type="http://schemas.openxmlformats.org/officeDocument/2006/relationships/image" Target="../media/image24.emf" /><Relationship Id="rId6" Type="http://schemas.openxmlformats.org/officeDocument/2006/relationships/image" Target="../media/image25.emf" /><Relationship Id="rId7" Type="http://schemas.openxmlformats.org/officeDocument/2006/relationships/image" Target="../media/image6.png" /><Relationship Id="rId8" Type="http://schemas.openxmlformats.org/officeDocument/2006/relationships/image" Target="../media/image26.png" /><Relationship Id="rId9" Type="http://schemas.openxmlformats.org/officeDocument/2006/relationships/image" Target="../media/image3.emf" /><Relationship Id="rId10" Type="http://schemas.openxmlformats.org/officeDocument/2006/relationships/image" Target="../media/image7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7.png" /><Relationship Id="rId2" Type="http://schemas.openxmlformats.org/officeDocument/2006/relationships/image" Target="../media/image5.png" /><Relationship Id="rId3" Type="http://schemas.openxmlformats.org/officeDocument/2006/relationships/image" Target="../media/image28.png" /><Relationship Id="rId4" Type="http://schemas.openxmlformats.org/officeDocument/2006/relationships/image" Target="../media/image29.png" /><Relationship Id="rId5" Type="http://schemas.openxmlformats.org/officeDocument/2006/relationships/image" Target="../media/image8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0.png" /><Relationship Id="rId2" Type="http://schemas.openxmlformats.org/officeDocument/2006/relationships/image" Target="../media/image31.png" /><Relationship Id="rId3" Type="http://schemas.openxmlformats.org/officeDocument/2006/relationships/image" Target="../media/image5.png" /><Relationship Id="rId4" Type="http://schemas.openxmlformats.org/officeDocument/2006/relationships/chart" Target="/xl/charts/chart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2.png" /><Relationship Id="rId2" Type="http://schemas.openxmlformats.org/officeDocument/2006/relationships/image" Target="../media/image33.png" /><Relationship Id="rId3" Type="http://schemas.openxmlformats.org/officeDocument/2006/relationships/image" Target="../media/image34.png" /><Relationship Id="rId4" Type="http://schemas.openxmlformats.org/officeDocument/2006/relationships/image" Target="../media/image35.png" /><Relationship Id="rId5" Type="http://schemas.openxmlformats.org/officeDocument/2006/relationships/image" Target="../media/image36.emf" /><Relationship Id="rId6" Type="http://schemas.openxmlformats.org/officeDocument/2006/relationships/image" Target="../media/image37.emf" /><Relationship Id="rId7" Type="http://schemas.openxmlformats.org/officeDocument/2006/relationships/image" Target="../media/image38.emf" /><Relationship Id="rId8" Type="http://schemas.openxmlformats.org/officeDocument/2006/relationships/image" Target="../media/image39.png" /><Relationship Id="rId9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4</xdr:row>
      <xdr:rowOff>19050</xdr:rowOff>
    </xdr:from>
    <xdr:to>
      <xdr:col>2</xdr:col>
      <xdr:colOff>752475</xdr:colOff>
      <xdr:row>9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28650"/>
          <a:ext cx="19335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695325</xdr:colOff>
      <xdr:row>26</xdr:row>
      <xdr:rowOff>57150</xdr:rowOff>
    </xdr:from>
    <xdr:to>
      <xdr:col>25</xdr:col>
      <xdr:colOff>266700</xdr:colOff>
      <xdr:row>30</xdr:row>
      <xdr:rowOff>171450</xdr:rowOff>
    </xdr:to>
    <xdr:pic>
      <xdr:nvPicPr>
        <xdr:cNvPr id="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97050" y="5429250"/>
          <a:ext cx="1857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390525</xdr:colOff>
      <xdr:row>10</xdr:row>
      <xdr:rowOff>200025</xdr:rowOff>
    </xdr:from>
    <xdr:to>
      <xdr:col>9</xdr:col>
      <xdr:colOff>533400</xdr:colOff>
      <xdr:row>15</xdr:row>
      <xdr:rowOff>66675</xdr:rowOff>
    </xdr:to>
    <xdr:pic>
      <xdr:nvPicPr>
        <xdr:cNvPr id="2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2295525"/>
          <a:ext cx="14763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17</xdr:row>
      <xdr:rowOff>57150</xdr:rowOff>
    </xdr:from>
    <xdr:to>
      <xdr:col>9</xdr:col>
      <xdr:colOff>352425</xdr:colOff>
      <xdr:row>21</xdr:row>
      <xdr:rowOff>161925</xdr:rowOff>
    </xdr:to>
    <xdr:pic>
      <xdr:nvPicPr>
        <xdr:cNvPr id="3" name="Picture 1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0" y="3619500"/>
          <a:ext cx="26384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381000</xdr:colOff>
      <xdr:row>17</xdr:row>
      <xdr:rowOff>85725</xdr:rowOff>
    </xdr:from>
    <xdr:to>
      <xdr:col>25</xdr:col>
      <xdr:colOff>161925</xdr:colOff>
      <xdr:row>20</xdr:row>
      <xdr:rowOff>190500</xdr:rowOff>
    </xdr:to>
    <xdr:pic>
      <xdr:nvPicPr>
        <xdr:cNvPr id="4" name="Picture 1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82725" y="3648075"/>
          <a:ext cx="20669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285750</xdr:colOff>
      <xdr:row>10</xdr:row>
      <xdr:rowOff>133350</xdr:rowOff>
    </xdr:from>
    <xdr:to>
      <xdr:col>25</xdr:col>
      <xdr:colOff>209550</xdr:colOff>
      <xdr:row>16</xdr:row>
      <xdr:rowOff>57150</xdr:rowOff>
    </xdr:to>
    <xdr:pic>
      <xdr:nvPicPr>
        <xdr:cNvPr id="5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87475" y="2228850"/>
          <a:ext cx="22098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69</xdr:col>
      <xdr:colOff>142875</xdr:colOff>
      <xdr:row>16</xdr:row>
      <xdr:rowOff>133350</xdr:rowOff>
    </xdr:from>
    <xdr:to>
      <xdr:col>72</xdr:col>
      <xdr:colOff>390525</xdr:colOff>
      <xdr:row>20</xdr:row>
      <xdr:rowOff>47625</xdr:rowOff>
    </xdr:to>
    <xdr:pic>
      <xdr:nvPicPr>
        <xdr:cNvPr id="6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94925" y="3486150"/>
          <a:ext cx="20764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69</xdr:col>
      <xdr:colOff>247650</xdr:colOff>
      <xdr:row>10</xdr:row>
      <xdr:rowOff>142875</xdr:rowOff>
    </xdr:from>
    <xdr:to>
      <xdr:col>72</xdr:col>
      <xdr:colOff>219075</xdr:colOff>
      <xdr:row>15</xdr:row>
      <xdr:rowOff>47625</xdr:rowOff>
    </xdr:to>
    <xdr:pic>
      <xdr:nvPicPr>
        <xdr:cNvPr id="7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99700" y="2238375"/>
          <a:ext cx="18002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219075</xdr:colOff>
      <xdr:row>13</xdr:row>
      <xdr:rowOff>142875</xdr:rowOff>
    </xdr:from>
    <xdr:to>
      <xdr:col>22</xdr:col>
      <xdr:colOff>142875</xdr:colOff>
      <xdr:row>18</xdr:row>
      <xdr:rowOff>9525</xdr:rowOff>
    </xdr:to>
    <xdr:pic>
      <xdr:nvPicPr>
        <xdr:cNvPr id="1" name="Picture 5" descr="ht21c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2847975"/>
          <a:ext cx="17526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23</xdr:row>
      <xdr:rowOff>38100</xdr:rowOff>
    </xdr:from>
    <xdr:to>
      <xdr:col>8</xdr:col>
      <xdr:colOff>704850</xdr:colOff>
      <xdr:row>29</xdr:row>
      <xdr:rowOff>104775</xdr:rowOff>
    </xdr:to>
    <xdr:pic>
      <xdr:nvPicPr>
        <xdr:cNvPr id="2" name="Picture 6" descr="ht20d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0150" y="4724400"/>
          <a:ext cx="21812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29</xdr:row>
      <xdr:rowOff>104775</xdr:rowOff>
    </xdr:from>
    <xdr:to>
      <xdr:col>8</xdr:col>
      <xdr:colOff>533400</xdr:colOff>
      <xdr:row>33</xdr:row>
      <xdr:rowOff>0</xdr:rowOff>
    </xdr:to>
    <xdr:pic>
      <xdr:nvPicPr>
        <xdr:cNvPr id="3" name="Picture 7" descr="ht20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" y="5943600"/>
          <a:ext cx="19716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32</xdr:row>
      <xdr:rowOff>114300</xdr:rowOff>
    </xdr:from>
    <xdr:to>
      <xdr:col>9</xdr:col>
      <xdr:colOff>9525</xdr:colOff>
      <xdr:row>37</xdr:row>
      <xdr:rowOff>95250</xdr:rowOff>
    </xdr:to>
    <xdr:pic>
      <xdr:nvPicPr>
        <xdr:cNvPr id="4" name="Picture 10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2475" y="6524625"/>
          <a:ext cx="2657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161925</xdr:colOff>
      <xdr:row>8</xdr:row>
      <xdr:rowOff>142875</xdr:rowOff>
    </xdr:from>
    <xdr:to>
      <xdr:col>27</xdr:col>
      <xdr:colOff>733425</xdr:colOff>
      <xdr:row>12</xdr:row>
      <xdr:rowOff>123825</xdr:rowOff>
    </xdr:to>
    <xdr:pic>
      <xdr:nvPicPr>
        <xdr:cNvPr id="5" name="Picture 13" descr="ht21b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43875" y="1847850"/>
          <a:ext cx="5448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200025</xdr:colOff>
      <xdr:row>0</xdr:row>
      <xdr:rowOff>66675</xdr:rowOff>
    </xdr:from>
    <xdr:to>
      <xdr:col>22</xdr:col>
      <xdr:colOff>295275</xdr:colOff>
      <xdr:row>8</xdr:row>
      <xdr:rowOff>19050</xdr:rowOff>
    </xdr:to>
    <xdr:pic>
      <xdr:nvPicPr>
        <xdr:cNvPr id="6" name="Picture 14" descr="ht20b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181975" y="66675"/>
          <a:ext cx="19240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123825</xdr:colOff>
      <xdr:row>17</xdr:row>
      <xdr:rowOff>161925</xdr:rowOff>
    </xdr:from>
    <xdr:to>
      <xdr:col>27</xdr:col>
      <xdr:colOff>904875</xdr:colOff>
      <xdr:row>22</xdr:row>
      <xdr:rowOff>9525</xdr:rowOff>
    </xdr:to>
    <xdr:pic>
      <xdr:nvPicPr>
        <xdr:cNvPr id="7" name="Picture 47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05775" y="3667125"/>
          <a:ext cx="5657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247650</xdr:colOff>
      <xdr:row>23</xdr:row>
      <xdr:rowOff>85725</xdr:rowOff>
    </xdr:from>
    <xdr:to>
      <xdr:col>36</xdr:col>
      <xdr:colOff>85725</xdr:colOff>
      <xdr:row>28</xdr:row>
      <xdr:rowOff>0</xdr:rowOff>
    </xdr:to>
    <xdr:pic>
      <xdr:nvPicPr>
        <xdr:cNvPr id="8" name="Picture 6" descr="ht20d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16075" y="4772025"/>
          <a:ext cx="24288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247650</xdr:colOff>
      <xdr:row>28</xdr:row>
      <xdr:rowOff>57150</xdr:rowOff>
    </xdr:from>
    <xdr:to>
      <xdr:col>36</xdr:col>
      <xdr:colOff>66675</xdr:colOff>
      <xdr:row>33</xdr:row>
      <xdr:rowOff>47625</xdr:rowOff>
    </xdr:to>
    <xdr:pic>
      <xdr:nvPicPr>
        <xdr:cNvPr id="9" name="Picture 7" descr="ht20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316075" y="5705475"/>
          <a:ext cx="24098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219075</xdr:colOff>
      <xdr:row>32</xdr:row>
      <xdr:rowOff>180975</xdr:rowOff>
    </xdr:from>
    <xdr:to>
      <xdr:col>38</xdr:col>
      <xdr:colOff>152400</xdr:colOff>
      <xdr:row>37</xdr:row>
      <xdr:rowOff>47625</xdr:rowOff>
    </xdr:to>
    <xdr:pic>
      <xdr:nvPicPr>
        <xdr:cNvPr id="10" name="Picture 10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287500" y="6591300"/>
          <a:ext cx="33813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342900</xdr:colOff>
      <xdr:row>29</xdr:row>
      <xdr:rowOff>142875</xdr:rowOff>
    </xdr:from>
    <xdr:to>
      <xdr:col>28</xdr:col>
      <xdr:colOff>514350</xdr:colOff>
      <xdr:row>33</xdr:row>
      <xdr:rowOff>76200</xdr:rowOff>
    </xdr:to>
    <xdr:pic>
      <xdr:nvPicPr>
        <xdr:cNvPr id="1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67975" y="6296025"/>
          <a:ext cx="31813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314325</xdr:colOff>
      <xdr:row>21</xdr:row>
      <xdr:rowOff>123825</xdr:rowOff>
    </xdr:from>
    <xdr:to>
      <xdr:col>26</xdr:col>
      <xdr:colOff>0</xdr:colOff>
      <xdr:row>27</xdr:row>
      <xdr:rowOff>85725</xdr:rowOff>
    </xdr:to>
    <xdr:pic>
      <xdr:nvPicPr>
        <xdr:cNvPr id="2" name="Picture 14" descr="ht20b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39400" y="4600575"/>
          <a:ext cx="19621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104775</xdr:colOff>
      <xdr:row>19</xdr:row>
      <xdr:rowOff>123825</xdr:rowOff>
    </xdr:from>
    <xdr:to>
      <xdr:col>39</xdr:col>
      <xdr:colOff>219075</xdr:colOff>
      <xdr:row>23</xdr:row>
      <xdr:rowOff>180975</xdr:rowOff>
    </xdr:to>
    <xdr:pic>
      <xdr:nvPicPr>
        <xdr:cNvPr id="3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59200" y="4181475"/>
          <a:ext cx="26479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9525</xdr:colOff>
      <xdr:row>10</xdr:row>
      <xdr:rowOff>47625</xdr:rowOff>
    </xdr:from>
    <xdr:to>
      <xdr:col>38</xdr:col>
      <xdr:colOff>314325</xdr:colOff>
      <xdr:row>15</xdr:row>
      <xdr:rowOff>152400</xdr:rowOff>
    </xdr:to>
    <xdr:pic>
      <xdr:nvPicPr>
        <xdr:cNvPr id="4" name="Picture 5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363950" y="2219325"/>
          <a:ext cx="24955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200025</xdr:colOff>
      <xdr:row>29</xdr:row>
      <xdr:rowOff>104775</xdr:rowOff>
    </xdr:from>
    <xdr:to>
      <xdr:col>64</xdr:col>
      <xdr:colOff>619125</xdr:colOff>
      <xdr:row>33</xdr:row>
      <xdr:rowOff>38100</xdr:rowOff>
    </xdr:to>
    <xdr:pic>
      <xdr:nvPicPr>
        <xdr:cNvPr id="5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55725" y="6257925"/>
          <a:ext cx="3810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57</xdr:col>
      <xdr:colOff>561975</xdr:colOff>
      <xdr:row>21</xdr:row>
      <xdr:rowOff>161925</xdr:rowOff>
    </xdr:from>
    <xdr:to>
      <xdr:col>61</xdr:col>
      <xdr:colOff>333375</xdr:colOff>
      <xdr:row>29</xdr:row>
      <xdr:rowOff>9525</xdr:rowOff>
    </xdr:to>
    <xdr:pic>
      <xdr:nvPicPr>
        <xdr:cNvPr id="6" name="Picture 14" descr="ht20b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546175" y="4638675"/>
          <a:ext cx="25050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67</xdr:col>
      <xdr:colOff>104775</xdr:colOff>
      <xdr:row>19</xdr:row>
      <xdr:rowOff>123825</xdr:rowOff>
    </xdr:from>
    <xdr:to>
      <xdr:col>73</xdr:col>
      <xdr:colOff>266700</xdr:colOff>
      <xdr:row>23</xdr:row>
      <xdr:rowOff>180975</xdr:rowOff>
    </xdr:to>
    <xdr:pic>
      <xdr:nvPicPr>
        <xdr:cNvPr id="7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27775" y="4181475"/>
          <a:ext cx="3752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67</xdr:col>
      <xdr:colOff>9525</xdr:colOff>
      <xdr:row>10</xdr:row>
      <xdr:rowOff>47625</xdr:rowOff>
    </xdr:from>
    <xdr:to>
      <xdr:col>72</xdr:col>
      <xdr:colOff>1143000</xdr:colOff>
      <xdr:row>15</xdr:row>
      <xdr:rowOff>152400</xdr:rowOff>
    </xdr:to>
    <xdr:pic>
      <xdr:nvPicPr>
        <xdr:cNvPr id="8" name="Picture 5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632525" y="2219325"/>
          <a:ext cx="33242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93</xdr:col>
      <xdr:colOff>914400</xdr:colOff>
      <xdr:row>25</xdr:row>
      <xdr:rowOff>38100</xdr:rowOff>
    </xdr:from>
    <xdr:to>
      <xdr:col>99</xdr:col>
      <xdr:colOff>257175</xdr:colOff>
      <xdr:row>28</xdr:row>
      <xdr:rowOff>190500</xdr:rowOff>
    </xdr:to>
    <xdr:pic>
      <xdr:nvPicPr>
        <xdr:cNvPr id="9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53025" y="5353050"/>
          <a:ext cx="27336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95</xdr:col>
      <xdr:colOff>0</xdr:colOff>
      <xdr:row>10</xdr:row>
      <xdr:rowOff>104775</xdr:rowOff>
    </xdr:from>
    <xdr:to>
      <xdr:col>98</xdr:col>
      <xdr:colOff>266700</xdr:colOff>
      <xdr:row>16</xdr:row>
      <xdr:rowOff>47625</xdr:rowOff>
    </xdr:to>
    <xdr:pic>
      <xdr:nvPicPr>
        <xdr:cNvPr id="10" name="Picture 14" descr="ht20b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062650" y="2276475"/>
          <a:ext cx="16383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103</xdr:col>
      <xdr:colOff>47625</xdr:colOff>
      <xdr:row>15</xdr:row>
      <xdr:rowOff>133350</xdr:rowOff>
    </xdr:from>
    <xdr:to>
      <xdr:col>107</xdr:col>
      <xdr:colOff>666750</xdr:colOff>
      <xdr:row>19</xdr:row>
      <xdr:rowOff>190500</xdr:rowOff>
    </xdr:to>
    <xdr:pic>
      <xdr:nvPicPr>
        <xdr:cNvPr id="11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29675" y="3352800"/>
          <a:ext cx="23717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102</xdr:col>
      <xdr:colOff>57150</xdr:colOff>
      <xdr:row>10</xdr:row>
      <xdr:rowOff>47625</xdr:rowOff>
    </xdr:from>
    <xdr:to>
      <xdr:col>107</xdr:col>
      <xdr:colOff>733425</xdr:colOff>
      <xdr:row>15</xdr:row>
      <xdr:rowOff>152400</xdr:rowOff>
    </xdr:to>
    <xdr:pic>
      <xdr:nvPicPr>
        <xdr:cNvPr id="12" name="Picture 5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501050" y="2219325"/>
          <a:ext cx="28670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57150</xdr:colOff>
      <xdr:row>8</xdr:row>
      <xdr:rowOff>28575</xdr:rowOff>
    </xdr:from>
    <xdr:to>
      <xdr:col>6</xdr:col>
      <xdr:colOff>590550</xdr:colOff>
      <xdr:row>12</xdr:row>
      <xdr:rowOff>57150</xdr:rowOff>
    </xdr:to>
    <xdr:pic>
      <xdr:nvPicPr>
        <xdr:cNvPr id="1" name="Picture 5" descr="ht21c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23975"/>
          <a:ext cx="1752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12</xdr:col>
      <xdr:colOff>447675</xdr:colOff>
      <xdr:row>5</xdr:row>
      <xdr:rowOff>142875</xdr:rowOff>
    </xdr:to>
    <xdr:pic>
      <xdr:nvPicPr>
        <xdr:cNvPr id="2" name="Picture 13" descr="ht21b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38400" y="323850"/>
          <a:ext cx="53244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15</xdr:row>
      <xdr:rowOff>0</xdr:rowOff>
    </xdr:from>
    <xdr:to>
      <xdr:col>8</xdr:col>
      <xdr:colOff>104775</xdr:colOff>
      <xdr:row>17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428875"/>
          <a:ext cx="3124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15</xdr:row>
      <xdr:rowOff>0</xdr:rowOff>
    </xdr:from>
    <xdr:to>
      <xdr:col>16</xdr:col>
      <xdr:colOff>76200</xdr:colOff>
      <xdr:row>17</xdr:row>
      <xdr:rowOff>95250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2428875"/>
          <a:ext cx="3124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133350</xdr:colOff>
      <xdr:row>0</xdr:row>
      <xdr:rowOff>76200</xdr:rowOff>
    </xdr:from>
    <xdr:to>
      <xdr:col>21</xdr:col>
      <xdr:colOff>219075</xdr:colOff>
      <xdr:row>6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0275" y="76200"/>
          <a:ext cx="43529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0</xdr:row>
      <xdr:rowOff>19050</xdr:rowOff>
    </xdr:from>
    <xdr:to>
      <xdr:col>12</xdr:col>
      <xdr:colOff>104775</xdr:colOff>
      <xdr:row>9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19050"/>
          <a:ext cx="37528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0</xdr:row>
      <xdr:rowOff>66675</xdr:rowOff>
    </xdr:from>
    <xdr:to>
      <xdr:col>3</xdr:col>
      <xdr:colOff>57150</xdr:colOff>
      <xdr:row>8</xdr:row>
      <xdr:rowOff>114300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8700" y="66675"/>
          <a:ext cx="28384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542925</xdr:colOff>
      <xdr:row>13</xdr:row>
      <xdr:rowOff>76200</xdr:rowOff>
    </xdr:from>
    <xdr:to>
      <xdr:col>14</xdr:col>
      <xdr:colOff>123825</xdr:colOff>
      <xdr:row>31</xdr:row>
      <xdr:rowOff>19050</xdr:rowOff>
    </xdr:to>
    <xdr:pic>
      <xdr:nvPicPr>
        <xdr:cNvPr id="4" name="Picture 20" descr="C:\www.mathnstuff.com\math\spoken\here\2class\90\htest4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48250" y="2228850"/>
          <a:ext cx="47625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142875</xdr:colOff>
      <xdr:row>10</xdr:row>
      <xdr:rowOff>0</xdr:rowOff>
    </xdr:from>
    <xdr:to>
      <xdr:col>18</xdr:col>
      <xdr:colOff>590550</xdr:colOff>
      <xdr:row>12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1638300"/>
          <a:ext cx="31242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200025</xdr:colOff>
      <xdr:row>36</xdr:row>
      <xdr:rowOff>114300</xdr:rowOff>
    </xdr:from>
    <xdr:to>
      <xdr:col>7</xdr:col>
      <xdr:colOff>514350</xdr:colOff>
      <xdr:row>39</xdr:row>
      <xdr:rowOff>66675</xdr:rowOff>
    </xdr:to>
    <xdr:pic>
      <xdr:nvPicPr>
        <xdr:cNvPr id="2" name="Picture 7" descr="C:\www.mathnstuff.com\math\spoken\here\2class\90\ht10b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2025" y="6038850"/>
          <a:ext cx="1428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504825</xdr:colOff>
      <xdr:row>10</xdr:row>
      <xdr:rowOff>104775</xdr:rowOff>
    </xdr:from>
    <xdr:to>
      <xdr:col>7</xdr:col>
      <xdr:colOff>819150</xdr:colOff>
      <xdr:row>13</xdr:row>
      <xdr:rowOff>57150</xdr:rowOff>
    </xdr:to>
    <xdr:pic>
      <xdr:nvPicPr>
        <xdr:cNvPr id="3" name="Picture 8" descr="C:\www.mathnstuff.com\math\spoken\here\2class\90\ht10b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76825" y="1743075"/>
          <a:ext cx="1428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142875</xdr:colOff>
      <xdr:row>13</xdr:row>
      <xdr:rowOff>57150</xdr:rowOff>
    </xdr:from>
    <xdr:to>
      <xdr:col>19</xdr:col>
      <xdr:colOff>447675</xdr:colOff>
      <xdr:row>15</xdr:row>
      <xdr:rowOff>76200</xdr:rowOff>
    </xdr:to>
    <xdr:pic>
      <xdr:nvPicPr>
        <xdr:cNvPr id="4" name="Picture 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15500" y="2181225"/>
          <a:ext cx="3590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19</xdr:col>
      <xdr:colOff>514350</xdr:colOff>
      <xdr:row>18</xdr:row>
      <xdr:rowOff>104775</xdr:rowOff>
    </xdr:to>
    <xdr:pic>
      <xdr:nvPicPr>
        <xdr:cNvPr id="5" name="Picture 4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715500" y="2647950"/>
          <a:ext cx="3657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66675</xdr:colOff>
      <xdr:row>24</xdr:row>
      <xdr:rowOff>161925</xdr:rowOff>
    </xdr:from>
    <xdr:to>
      <xdr:col>25</xdr:col>
      <xdr:colOff>142875</xdr:colOff>
      <xdr:row>27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06450" y="4152900"/>
          <a:ext cx="1781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257175</xdr:colOff>
      <xdr:row>33</xdr:row>
      <xdr:rowOff>57150</xdr:rowOff>
    </xdr:from>
    <xdr:to>
      <xdr:col>18</xdr:col>
      <xdr:colOff>942975</xdr:colOff>
      <xdr:row>36</xdr:row>
      <xdr:rowOff>9525</xdr:rowOff>
    </xdr:to>
    <xdr:pic>
      <xdr:nvPicPr>
        <xdr:cNvPr id="2" name="Picture 39" descr="C:\www.mathnstuff.com\math\spoken\here\2class\90\ht10b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72700" y="5553075"/>
          <a:ext cx="1428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31</xdr:row>
      <xdr:rowOff>95250</xdr:rowOff>
    </xdr:from>
    <xdr:to>
      <xdr:col>6</xdr:col>
      <xdr:colOff>342900</xdr:colOff>
      <xdr:row>37</xdr:row>
      <xdr:rowOff>104775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267325"/>
          <a:ext cx="3581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133350</xdr:colOff>
      <xdr:row>25</xdr:row>
      <xdr:rowOff>123825</xdr:rowOff>
    </xdr:from>
    <xdr:to>
      <xdr:col>33</xdr:col>
      <xdr:colOff>647700</xdr:colOff>
      <xdr:row>28</xdr:row>
      <xdr:rowOff>66675</xdr:rowOff>
    </xdr:to>
    <xdr:pic>
      <xdr:nvPicPr>
        <xdr:cNvPr id="4" name="Picture 39" descr="C:\www.mathnstuff.com\math\spoken\here\2class\90\ht10b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268950" y="4324350"/>
          <a:ext cx="1143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361950</xdr:colOff>
      <xdr:row>3</xdr:row>
      <xdr:rowOff>104775</xdr:rowOff>
    </xdr:from>
    <xdr:to>
      <xdr:col>8</xdr:col>
      <xdr:colOff>200025</xdr:colOff>
      <xdr:row>8</xdr:row>
      <xdr:rowOff>19050</xdr:rowOff>
    </xdr:to>
    <xdr:pic>
      <xdr:nvPicPr>
        <xdr:cNvPr id="1" name="Picture 1" descr="C:\www.mathnstuff.com\math\spoken\here\2class\90\ht5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600075"/>
          <a:ext cx="1504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742950</xdr:colOff>
      <xdr:row>10</xdr:row>
      <xdr:rowOff>66675</xdr:rowOff>
    </xdr:from>
    <xdr:to>
      <xdr:col>4</xdr:col>
      <xdr:colOff>333375</xdr:colOff>
      <xdr:row>15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0" y="1704975"/>
          <a:ext cx="1276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571500</xdr:colOff>
      <xdr:row>12</xdr:row>
      <xdr:rowOff>209550</xdr:rowOff>
    </xdr:from>
    <xdr:to>
      <xdr:col>5</xdr:col>
      <xdr:colOff>238125</xdr:colOff>
      <xdr:row>18</xdr:row>
      <xdr:rowOff>57150</xdr:rowOff>
    </xdr:to>
    <xdr:pic>
      <xdr:nvPicPr>
        <xdr:cNvPr id="3" name="Picture 5" descr="C:\www.mathnstuff.com\gif\sqrt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09975" y="2181225"/>
          <a:ext cx="2762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333375</xdr:colOff>
      <xdr:row>12</xdr:row>
      <xdr:rowOff>209550</xdr:rowOff>
    </xdr:from>
    <xdr:to>
      <xdr:col>11</xdr:col>
      <xdr:colOff>38100</xdr:colOff>
      <xdr:row>15</xdr:row>
      <xdr:rowOff>85725</xdr:rowOff>
    </xdr:to>
    <xdr:pic>
      <xdr:nvPicPr>
        <xdr:cNvPr id="4" name="Picture 5" descr="C:\www.mathnstuff.com\gif\sqrt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00675" y="2181225"/>
          <a:ext cx="2762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561975</xdr:colOff>
      <xdr:row>22</xdr:row>
      <xdr:rowOff>200025</xdr:rowOff>
    </xdr:from>
    <xdr:to>
      <xdr:col>5</xdr:col>
      <xdr:colOff>228600</xdr:colOff>
      <xdr:row>27</xdr:row>
      <xdr:rowOff>104775</xdr:rowOff>
    </xdr:to>
    <xdr:pic>
      <xdr:nvPicPr>
        <xdr:cNvPr id="5" name="Picture 5" descr="C:\www.mathnstuff.com\gif\sqrt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00450" y="4019550"/>
          <a:ext cx="2762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22</xdr:row>
      <xdr:rowOff>200025</xdr:rowOff>
    </xdr:from>
    <xdr:to>
      <xdr:col>11</xdr:col>
      <xdr:colOff>85725</xdr:colOff>
      <xdr:row>25</xdr:row>
      <xdr:rowOff>0</xdr:rowOff>
    </xdr:to>
    <xdr:pic>
      <xdr:nvPicPr>
        <xdr:cNvPr id="6" name="Picture 5" descr="C:\www.mathnstuff.com\gif\sqrt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48300" y="4019550"/>
          <a:ext cx="2762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3</xdr:row>
      <xdr:rowOff>76200</xdr:rowOff>
    </xdr:from>
    <xdr:to>
      <xdr:col>13</xdr:col>
      <xdr:colOff>276225</xdr:colOff>
      <xdr:row>8</xdr:row>
      <xdr:rowOff>28575</xdr:rowOff>
    </xdr:to>
    <xdr:pic>
      <xdr:nvPicPr>
        <xdr:cNvPr id="7" name="Picture 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10175" y="571500"/>
          <a:ext cx="1533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781050</xdr:colOff>
      <xdr:row>21</xdr:row>
      <xdr:rowOff>47625</xdr:rowOff>
    </xdr:from>
    <xdr:to>
      <xdr:col>4</xdr:col>
      <xdr:colOff>171450</xdr:colOff>
      <xdr:row>24</xdr:row>
      <xdr:rowOff>209550</xdr:rowOff>
    </xdr:to>
    <xdr:pic>
      <xdr:nvPicPr>
        <xdr:cNvPr id="8" name="Picture 4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33600" y="3695700"/>
          <a:ext cx="10763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219075</xdr:colOff>
      <xdr:row>2</xdr:row>
      <xdr:rowOff>152400</xdr:rowOff>
    </xdr:from>
    <xdr:to>
      <xdr:col>23</xdr:col>
      <xdr:colOff>447675</xdr:colOff>
      <xdr:row>10</xdr:row>
      <xdr:rowOff>0</xdr:rowOff>
    </xdr:to>
    <xdr:pic>
      <xdr:nvPicPr>
        <xdr:cNvPr id="9" name="Picture 2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696450" y="485775"/>
          <a:ext cx="14954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361950</xdr:colOff>
      <xdr:row>10</xdr:row>
      <xdr:rowOff>38100</xdr:rowOff>
    </xdr:from>
    <xdr:to>
      <xdr:col>20</xdr:col>
      <xdr:colOff>152400</xdr:colOff>
      <xdr:row>12</xdr:row>
      <xdr:rowOff>219075</xdr:rowOff>
    </xdr:to>
    <xdr:pic>
      <xdr:nvPicPr>
        <xdr:cNvPr id="10" name="Picture 223" descr="C:\www.mathnstuff.com\gif\br1.g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477375" y="1676400"/>
          <a:ext cx="152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590550</xdr:colOff>
      <xdr:row>10</xdr:row>
      <xdr:rowOff>38100</xdr:rowOff>
    </xdr:from>
    <xdr:to>
      <xdr:col>24</xdr:col>
      <xdr:colOff>114300</xdr:colOff>
      <xdr:row>12</xdr:row>
      <xdr:rowOff>219075</xdr:rowOff>
    </xdr:to>
    <xdr:pic>
      <xdr:nvPicPr>
        <xdr:cNvPr id="11" name="Picture 223" descr="C:\www.mathnstuff.com\gif\br1.gi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334750" y="1676400"/>
          <a:ext cx="133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361950</xdr:colOff>
      <xdr:row>14</xdr:row>
      <xdr:rowOff>0</xdr:rowOff>
    </xdr:from>
    <xdr:to>
      <xdr:col>20</xdr:col>
      <xdr:colOff>142875</xdr:colOff>
      <xdr:row>16</xdr:row>
      <xdr:rowOff>123825</xdr:rowOff>
    </xdr:to>
    <xdr:pic>
      <xdr:nvPicPr>
        <xdr:cNvPr id="12" name="Picture 223" descr="C:\www.mathnstuff.com\gif\br1.g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477375" y="2371725"/>
          <a:ext cx="142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219075</xdr:colOff>
      <xdr:row>13</xdr:row>
      <xdr:rowOff>152400</xdr:rowOff>
    </xdr:from>
    <xdr:to>
      <xdr:col>23</xdr:col>
      <xdr:colOff>142875</xdr:colOff>
      <xdr:row>16</xdr:row>
      <xdr:rowOff>114300</xdr:rowOff>
    </xdr:to>
    <xdr:pic>
      <xdr:nvPicPr>
        <xdr:cNvPr id="13" name="Picture 223" descr="C:\www.mathnstuff.com\gif\br1.g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744200" y="2362200"/>
          <a:ext cx="142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600075</xdr:colOff>
      <xdr:row>14</xdr:row>
      <xdr:rowOff>9525</xdr:rowOff>
    </xdr:from>
    <xdr:to>
      <xdr:col>21</xdr:col>
      <xdr:colOff>123825</xdr:colOff>
      <xdr:row>16</xdr:row>
      <xdr:rowOff>133350</xdr:rowOff>
    </xdr:to>
    <xdr:pic>
      <xdr:nvPicPr>
        <xdr:cNvPr id="14" name="Picture 223" descr="C:\www.mathnstuff.com\gif\br1.gi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077450" y="2381250"/>
          <a:ext cx="133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514350</xdr:colOff>
      <xdr:row>14</xdr:row>
      <xdr:rowOff>0</xdr:rowOff>
    </xdr:from>
    <xdr:to>
      <xdr:col>24</xdr:col>
      <xdr:colOff>66675</xdr:colOff>
      <xdr:row>16</xdr:row>
      <xdr:rowOff>123825</xdr:rowOff>
    </xdr:to>
    <xdr:pic>
      <xdr:nvPicPr>
        <xdr:cNvPr id="15" name="Picture 223" descr="C:\www.mathnstuff.com\gif\br1.gi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258550" y="2371725"/>
          <a:ext cx="161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32</xdr:row>
      <xdr:rowOff>38100</xdr:rowOff>
    </xdr:from>
    <xdr:to>
      <xdr:col>18</xdr:col>
      <xdr:colOff>123825</xdr:colOff>
      <xdr:row>43</xdr:row>
      <xdr:rowOff>28575</xdr:rowOff>
    </xdr:to>
    <xdr:pic>
      <xdr:nvPicPr>
        <xdr:cNvPr id="16" name="Picture 67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067050" y="5791200"/>
          <a:ext cx="581977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371475</xdr:colOff>
      <xdr:row>0</xdr:row>
      <xdr:rowOff>104775</xdr:rowOff>
    </xdr:from>
    <xdr:to>
      <xdr:col>17</xdr:col>
      <xdr:colOff>371475</xdr:colOff>
      <xdr:row>7</xdr:row>
      <xdr:rowOff>114300</xdr:rowOff>
    </xdr:to>
    <xdr:pic>
      <xdr:nvPicPr>
        <xdr:cNvPr id="17" name="Picture 67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838950" y="104775"/>
          <a:ext cx="18192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14</xdr:row>
      <xdr:rowOff>47625</xdr:rowOff>
    </xdr:from>
    <xdr:to>
      <xdr:col>5</xdr:col>
      <xdr:colOff>38100</xdr:colOff>
      <xdr:row>17</xdr:row>
      <xdr:rowOff>19050</xdr:rowOff>
    </xdr:to>
    <xdr:pic>
      <xdr:nvPicPr>
        <xdr:cNvPr id="1" name="Picture 2" descr="C:\www.mathnstuff.com\math\spoken\here\2class\90\ht07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2857500"/>
          <a:ext cx="1524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15</xdr:row>
      <xdr:rowOff>161925</xdr:rowOff>
    </xdr:from>
    <xdr:to>
      <xdr:col>7</xdr:col>
      <xdr:colOff>619125</xdr:colOff>
      <xdr:row>20</xdr:row>
      <xdr:rowOff>104775</xdr:rowOff>
    </xdr:to>
    <xdr:pic>
      <xdr:nvPicPr>
        <xdr:cNvPr id="2" name="Picture 5" descr="C:\www.mathnstuff.com\gif\sqr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3209925"/>
          <a:ext cx="6000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21</xdr:row>
      <xdr:rowOff>180975</xdr:rowOff>
    </xdr:from>
    <xdr:to>
      <xdr:col>10</xdr:col>
      <xdr:colOff>19050</xdr:colOff>
      <xdr:row>25</xdr:row>
      <xdr:rowOff>9525</xdr:rowOff>
    </xdr:to>
    <xdr:pic>
      <xdr:nvPicPr>
        <xdr:cNvPr id="3" name="Picture 5" descr="C:\www.mathnstuff.com\gif\sqr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0" y="4514850"/>
          <a:ext cx="3524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542925</xdr:colOff>
      <xdr:row>1</xdr:row>
      <xdr:rowOff>47625</xdr:rowOff>
    </xdr:from>
    <xdr:to>
      <xdr:col>13</xdr:col>
      <xdr:colOff>28575</xdr:colOff>
      <xdr:row>6</xdr:row>
      <xdr:rowOff>152400</xdr:rowOff>
    </xdr:to>
    <xdr:pic>
      <xdr:nvPicPr>
        <xdr:cNvPr id="4" name="Picture 58" descr="C:\www.mathnstuff.com\math\spoken\here\2class\90\ht07d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76800" y="209550"/>
          <a:ext cx="18573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400050</xdr:colOff>
      <xdr:row>7</xdr:row>
      <xdr:rowOff>0</xdr:rowOff>
    </xdr:from>
    <xdr:to>
      <xdr:col>13</xdr:col>
      <xdr:colOff>333375</xdr:colOff>
      <xdr:row>12</xdr:row>
      <xdr:rowOff>76200</xdr:rowOff>
    </xdr:to>
    <xdr:pic>
      <xdr:nvPicPr>
        <xdr:cNvPr id="5" name="Picture 59" descr="C:\www.mathnstuff.com\math\spoken\here\2class\90\ht07c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33925" y="1371600"/>
          <a:ext cx="23050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523875</xdr:colOff>
      <xdr:row>20</xdr:row>
      <xdr:rowOff>19050</xdr:rowOff>
    </xdr:from>
    <xdr:to>
      <xdr:col>5</xdr:col>
      <xdr:colOff>400050</xdr:colOff>
      <xdr:row>26</xdr:row>
      <xdr:rowOff>0</xdr:rowOff>
    </xdr:to>
    <xdr:pic>
      <xdr:nvPicPr>
        <xdr:cNvPr id="6" name="Picture 6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3875" y="4143375"/>
          <a:ext cx="28003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27</xdr:row>
      <xdr:rowOff>0</xdr:rowOff>
    </xdr:from>
    <xdr:to>
      <xdr:col>5</xdr:col>
      <xdr:colOff>38100</xdr:colOff>
      <xdr:row>29</xdr:row>
      <xdr:rowOff>133350</xdr:rowOff>
    </xdr:to>
    <xdr:pic>
      <xdr:nvPicPr>
        <xdr:cNvPr id="7" name="Picture 2" descr="C:\www.mathnstuff.com\math\spoken\here\2class\90\ht07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5391150"/>
          <a:ext cx="15240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409575</xdr:colOff>
      <xdr:row>1</xdr:row>
      <xdr:rowOff>57150</xdr:rowOff>
    </xdr:from>
    <xdr:to>
      <xdr:col>12</xdr:col>
      <xdr:colOff>361950</xdr:colOff>
      <xdr:row>3</xdr:row>
      <xdr:rowOff>190500</xdr:rowOff>
    </xdr:to>
    <xdr:pic>
      <xdr:nvPicPr>
        <xdr:cNvPr id="1" name="Picture 1" descr="C:\www.mathnstuff.com\math\spoken\here\2class\90\ht04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247650"/>
          <a:ext cx="2857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447675</xdr:colOff>
      <xdr:row>17</xdr:row>
      <xdr:rowOff>133350</xdr:rowOff>
    </xdr:from>
    <xdr:to>
      <xdr:col>9</xdr:col>
      <xdr:colOff>114300</xdr:colOff>
      <xdr:row>21</xdr:row>
      <xdr:rowOff>219075</xdr:rowOff>
    </xdr:to>
    <xdr:pic>
      <xdr:nvPicPr>
        <xdr:cNvPr id="2" name="Picture 2" descr="C:\www.mathnstuff.com\math\spoken\here\2class\90\ht04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86225" y="3743325"/>
          <a:ext cx="14287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12</xdr:row>
      <xdr:rowOff>190500</xdr:rowOff>
    </xdr:from>
    <xdr:to>
      <xdr:col>8</xdr:col>
      <xdr:colOff>523875</xdr:colOff>
      <xdr:row>17</xdr:row>
      <xdr:rowOff>95250</xdr:rowOff>
    </xdr:to>
    <xdr:pic>
      <xdr:nvPicPr>
        <xdr:cNvPr id="3" name="Picture 5" descr="C:\www.mathnstuff.com\gif\sqrt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24425" y="2724150"/>
          <a:ext cx="4572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590550</xdr:colOff>
      <xdr:row>7</xdr:row>
      <xdr:rowOff>200025</xdr:rowOff>
    </xdr:from>
    <xdr:to>
      <xdr:col>7</xdr:col>
      <xdr:colOff>361950</xdr:colOff>
      <xdr:row>10</xdr:row>
      <xdr:rowOff>47625</xdr:rowOff>
    </xdr:to>
    <xdr:pic>
      <xdr:nvPicPr>
        <xdr:cNvPr id="4" name="Picture 5" descr="C:\www.mathnstuff.com\gif\sqrt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29100" y="1657350"/>
          <a:ext cx="381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16</xdr:row>
      <xdr:rowOff>133350</xdr:rowOff>
    </xdr:from>
    <xdr:to>
      <xdr:col>6</xdr:col>
      <xdr:colOff>114300</xdr:colOff>
      <xdr:row>29</xdr:row>
      <xdr:rowOff>85725</xdr:rowOff>
    </xdr:to>
    <xdr:graphicFrame>
      <xdr:nvGraphicFramePr>
        <xdr:cNvPr id="5" name="Chart 13"/>
        <xdr:cNvGraphicFramePr/>
      </xdr:nvGraphicFramePr>
      <xdr:xfrm>
        <a:off x="190500" y="3543300"/>
        <a:ext cx="3562350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104775</xdr:colOff>
      <xdr:row>9</xdr:row>
      <xdr:rowOff>57150</xdr:rowOff>
    </xdr:from>
    <xdr:to>
      <xdr:col>6</xdr:col>
      <xdr:colOff>981075</xdr:colOff>
      <xdr:row>12</xdr:row>
      <xdr:rowOff>114300</xdr:rowOff>
    </xdr:to>
    <xdr:pic>
      <xdr:nvPicPr>
        <xdr:cNvPr id="1" name="Picture 1" descr="ht13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9925" y="1514475"/>
          <a:ext cx="8763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15</xdr:row>
      <xdr:rowOff>152400</xdr:rowOff>
    </xdr:from>
    <xdr:to>
      <xdr:col>11</xdr:col>
      <xdr:colOff>514350</xdr:colOff>
      <xdr:row>19</xdr:row>
      <xdr:rowOff>57150</xdr:rowOff>
    </xdr:to>
    <xdr:pic>
      <xdr:nvPicPr>
        <xdr:cNvPr id="2" name="Picture 2" descr="ht13b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9550" y="2600325"/>
          <a:ext cx="1000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104775</xdr:colOff>
      <xdr:row>2</xdr:row>
      <xdr:rowOff>114300</xdr:rowOff>
    </xdr:from>
    <xdr:to>
      <xdr:col>11</xdr:col>
      <xdr:colOff>238125</xdr:colOff>
      <xdr:row>6</xdr:row>
      <xdr:rowOff>95250</xdr:rowOff>
    </xdr:to>
    <xdr:pic>
      <xdr:nvPicPr>
        <xdr:cNvPr id="3" name="Picture 3" descr="ht13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38925" y="438150"/>
          <a:ext cx="19145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219075</xdr:colOff>
      <xdr:row>8</xdr:row>
      <xdr:rowOff>19050</xdr:rowOff>
    </xdr:from>
    <xdr:to>
      <xdr:col>11</xdr:col>
      <xdr:colOff>257175</xdr:colOff>
      <xdr:row>13</xdr:row>
      <xdr:rowOff>28575</xdr:rowOff>
    </xdr:to>
    <xdr:pic>
      <xdr:nvPicPr>
        <xdr:cNvPr id="4" name="Picture 5" descr="ht13d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53225" y="1314450"/>
          <a:ext cx="1819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104775</xdr:colOff>
      <xdr:row>14</xdr:row>
      <xdr:rowOff>57150</xdr:rowOff>
    </xdr:from>
    <xdr:to>
      <xdr:col>21</xdr:col>
      <xdr:colOff>1381125</xdr:colOff>
      <xdr:row>17</xdr:row>
      <xdr:rowOff>76200</xdr:rowOff>
    </xdr:to>
    <xdr:pic>
      <xdr:nvPicPr>
        <xdr:cNvPr id="5" name="Picture 10" descr="ht13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58950" y="2333625"/>
          <a:ext cx="1276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28575</xdr:colOff>
      <xdr:row>16</xdr:row>
      <xdr:rowOff>76200</xdr:rowOff>
    </xdr:from>
    <xdr:to>
      <xdr:col>26</xdr:col>
      <xdr:colOff>276225</xdr:colOff>
      <xdr:row>19</xdr:row>
      <xdr:rowOff>57150</xdr:rowOff>
    </xdr:to>
    <xdr:pic>
      <xdr:nvPicPr>
        <xdr:cNvPr id="6" name="Picture 11" descr="ht13b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69050" y="2705100"/>
          <a:ext cx="933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104775</xdr:colOff>
      <xdr:row>2</xdr:row>
      <xdr:rowOff>38100</xdr:rowOff>
    </xdr:from>
    <xdr:to>
      <xdr:col>26</xdr:col>
      <xdr:colOff>190500</xdr:colOff>
      <xdr:row>7</xdr:row>
      <xdr:rowOff>0</xdr:rowOff>
    </xdr:to>
    <xdr:pic>
      <xdr:nvPicPr>
        <xdr:cNvPr id="7" name="Picture 12" descr="ht13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116550" y="361950"/>
          <a:ext cx="18002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66675</xdr:colOff>
      <xdr:row>8</xdr:row>
      <xdr:rowOff>28575</xdr:rowOff>
    </xdr:from>
    <xdr:to>
      <xdr:col>25</xdr:col>
      <xdr:colOff>628650</xdr:colOff>
      <xdr:row>13</xdr:row>
      <xdr:rowOff>133350</xdr:rowOff>
    </xdr:to>
    <xdr:pic>
      <xdr:nvPicPr>
        <xdr:cNvPr id="8" name="Picture 13" descr="ht13d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078450" y="1323975"/>
          <a:ext cx="15906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36</xdr:row>
      <xdr:rowOff>66675</xdr:rowOff>
    </xdr:from>
    <xdr:to>
      <xdr:col>4</xdr:col>
      <xdr:colOff>333375</xdr:colOff>
      <xdr:row>42</xdr:row>
      <xdr:rowOff>19050</xdr:rowOff>
    </xdr:to>
    <xdr:pic>
      <xdr:nvPicPr>
        <xdr:cNvPr id="9" name="Picture 20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09650" y="6048375"/>
          <a:ext cx="16192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35</xdr:row>
      <xdr:rowOff>123825</xdr:rowOff>
    </xdr:from>
    <xdr:to>
      <xdr:col>16</xdr:col>
      <xdr:colOff>552450</xdr:colOff>
      <xdr:row>45</xdr:row>
      <xdr:rowOff>76200</xdr:rowOff>
    </xdr:to>
    <xdr:pic>
      <xdr:nvPicPr>
        <xdr:cNvPr id="10" name="Picture 20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696575" y="5943600"/>
          <a:ext cx="14192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295275</xdr:colOff>
      <xdr:row>34</xdr:row>
      <xdr:rowOff>161925</xdr:rowOff>
    </xdr:from>
    <xdr:to>
      <xdr:col>13</xdr:col>
      <xdr:colOff>476250</xdr:colOff>
      <xdr:row>42</xdr:row>
      <xdr:rowOff>0</xdr:rowOff>
    </xdr:to>
    <xdr:pic>
      <xdr:nvPicPr>
        <xdr:cNvPr id="11" name="Picture 23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829425" y="5819775"/>
          <a:ext cx="31813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971550</xdr:colOff>
      <xdr:row>32</xdr:row>
      <xdr:rowOff>133350</xdr:rowOff>
    </xdr:from>
    <xdr:to>
      <xdr:col>9</xdr:col>
      <xdr:colOff>1114425</xdr:colOff>
      <xdr:row>37</xdr:row>
      <xdr:rowOff>133350</xdr:rowOff>
    </xdr:to>
    <xdr:pic>
      <xdr:nvPicPr>
        <xdr:cNvPr id="12" name="Picture 3" descr="aleft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 rot="3535140">
          <a:off x="7505700" y="5457825"/>
          <a:ext cx="1428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257175</xdr:colOff>
      <xdr:row>24</xdr:row>
      <xdr:rowOff>28575</xdr:rowOff>
    </xdr:from>
    <xdr:to>
      <xdr:col>13</xdr:col>
      <xdr:colOff>66675</xdr:colOff>
      <xdr:row>39</xdr:row>
      <xdr:rowOff>142875</xdr:rowOff>
    </xdr:to>
    <xdr:pic>
      <xdr:nvPicPr>
        <xdr:cNvPr id="13" name="Picture 3" descr="aleft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 rot="5143861" flipV="1">
          <a:off x="9344025" y="4048125"/>
          <a:ext cx="257175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190500</xdr:colOff>
      <xdr:row>51</xdr:row>
      <xdr:rowOff>38100</xdr:rowOff>
    </xdr:from>
    <xdr:to>
      <xdr:col>13</xdr:col>
      <xdr:colOff>695325</xdr:colOff>
      <xdr:row>58</xdr:row>
      <xdr:rowOff>95250</xdr:rowOff>
    </xdr:to>
    <xdr:pic>
      <xdr:nvPicPr>
        <xdr:cNvPr id="14" name="Picture 36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05825" y="8448675"/>
          <a:ext cx="17240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114300</xdr:colOff>
      <xdr:row>52</xdr:row>
      <xdr:rowOff>85725</xdr:rowOff>
    </xdr:from>
    <xdr:to>
      <xdr:col>28</xdr:col>
      <xdr:colOff>142875</xdr:colOff>
      <xdr:row>58</xdr:row>
      <xdr:rowOff>133350</xdr:rowOff>
    </xdr:to>
    <xdr:pic>
      <xdr:nvPicPr>
        <xdr:cNvPr id="15" name="Picture 36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9154775" y="8658225"/>
          <a:ext cx="16287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9"/>
  <sheetViews>
    <sheetView tabSelected="1" zoomScalePageLayoutView="0" workbookViewId="0" topLeftCell="A1">
      <selection activeCell="E20" sqref="E20"/>
    </sheetView>
  </sheetViews>
  <sheetFormatPr defaultColWidth="9.140625" defaultRowHeight="12.75"/>
  <cols>
    <col min="1" max="1" width="3.421875" style="357" customWidth="1"/>
    <col min="2" max="2" width="9.140625" style="357" customWidth="1"/>
    <col min="3" max="3" width="31.8515625" style="357" customWidth="1"/>
    <col min="4" max="4" width="4.7109375" style="357" customWidth="1"/>
    <col min="5" max="11" width="9.140625" style="357" customWidth="1"/>
    <col min="12" max="12" width="13.57421875" style="357" customWidth="1"/>
    <col min="13" max="14" width="9.140625" style="357" customWidth="1"/>
    <col min="15" max="15" width="10.8515625" style="357" customWidth="1"/>
    <col min="16" max="16384" width="9.140625" style="357" customWidth="1"/>
  </cols>
  <sheetData>
    <row r="2" spans="2:5" ht="26.25">
      <c r="B2" s="358" t="s">
        <v>380</v>
      </c>
      <c r="E2" s="359" t="s">
        <v>74</v>
      </c>
    </row>
    <row r="3" spans="2:15" ht="18.75" thickBot="1">
      <c r="B3" s="360"/>
      <c r="C3" s="360"/>
      <c r="D3" s="360"/>
      <c r="E3" s="359"/>
      <c r="F3" s="360"/>
      <c r="G3" s="360"/>
      <c r="H3" s="360"/>
      <c r="I3" s="360"/>
      <c r="J3" s="360"/>
      <c r="K3" s="360"/>
      <c r="L3" s="361"/>
      <c r="M3" s="360"/>
      <c r="N3" s="360"/>
      <c r="O3" s="362"/>
    </row>
    <row r="4" spans="1:16" s="362" customFormat="1" ht="21" thickBot="1">
      <c r="A4" s="363"/>
      <c r="B4" s="360"/>
      <c r="C4" s="371" t="s">
        <v>10</v>
      </c>
      <c r="D4" s="372"/>
      <c r="E4" s="373"/>
      <c r="F4" s="373"/>
      <c r="G4" s="373"/>
      <c r="H4" s="373"/>
      <c r="I4" s="373"/>
      <c r="J4" s="374"/>
      <c r="K4" s="375"/>
      <c r="L4" s="374"/>
      <c r="M4" s="373"/>
      <c r="N4" s="373"/>
      <c r="O4" s="373"/>
      <c r="P4" s="376"/>
    </row>
    <row r="5" spans="1:16" s="362" customFormat="1" ht="18.75" thickBot="1">
      <c r="A5" s="363"/>
      <c r="C5" s="364" t="s">
        <v>2</v>
      </c>
      <c r="D5" s="365"/>
      <c r="E5" s="366" t="s">
        <v>3</v>
      </c>
      <c r="F5" s="366"/>
      <c r="G5" s="365"/>
      <c r="H5" s="365"/>
      <c r="I5" s="365"/>
      <c r="J5" s="365"/>
      <c r="K5" s="365"/>
      <c r="L5" s="367"/>
      <c r="M5" s="365"/>
      <c r="N5" s="365"/>
      <c r="P5" s="363"/>
    </row>
    <row r="6" spans="1:16" s="362" customFormat="1" ht="18">
      <c r="A6" s="363"/>
      <c r="C6" s="368" t="s">
        <v>5</v>
      </c>
      <c r="D6" s="368" t="s">
        <v>4</v>
      </c>
      <c r="E6" s="362" t="s">
        <v>6</v>
      </c>
      <c r="G6" s="357"/>
      <c r="H6" s="357"/>
      <c r="I6" s="357"/>
      <c r="J6" s="357"/>
      <c r="K6" s="357"/>
      <c r="L6" s="357"/>
      <c r="M6" s="357"/>
      <c r="N6" s="357"/>
      <c r="O6" s="357"/>
      <c r="P6" s="363"/>
    </row>
    <row r="7" spans="1:16" s="362" customFormat="1" ht="18">
      <c r="A7" s="363"/>
      <c r="B7" s="368"/>
      <c r="C7" s="368" t="s">
        <v>11</v>
      </c>
      <c r="D7" s="368" t="s">
        <v>4</v>
      </c>
      <c r="E7" s="369" t="s">
        <v>12</v>
      </c>
      <c r="I7" s="370"/>
      <c r="J7" s="360"/>
      <c r="L7" s="357"/>
      <c r="P7" s="363"/>
    </row>
    <row r="8" spans="3:7" ht="15.75">
      <c r="C8" s="368" t="s">
        <v>27</v>
      </c>
      <c r="D8" s="368" t="s">
        <v>4</v>
      </c>
      <c r="E8" s="369" t="s">
        <v>28</v>
      </c>
      <c r="F8" s="362"/>
      <c r="G8" s="362"/>
    </row>
    <row r="9" spans="3:5" ht="15.75">
      <c r="C9" s="368" t="s">
        <v>70</v>
      </c>
      <c r="D9" s="368" t="s">
        <v>4</v>
      </c>
      <c r="E9" s="369" t="s">
        <v>71</v>
      </c>
    </row>
    <row r="10" spans="3:5" ht="15.75">
      <c r="C10" s="368" t="s">
        <v>72</v>
      </c>
      <c r="D10" s="368" t="s">
        <v>4</v>
      </c>
      <c r="E10" s="369" t="s">
        <v>73</v>
      </c>
    </row>
    <row r="11" spans="3:5" ht="15.75">
      <c r="C11" s="368" t="s">
        <v>113</v>
      </c>
      <c r="D11" s="368" t="s">
        <v>4</v>
      </c>
      <c r="E11" s="369" t="s">
        <v>114</v>
      </c>
    </row>
    <row r="12" spans="3:5" ht="15.75">
      <c r="C12" s="368" t="s">
        <v>115</v>
      </c>
      <c r="D12" s="368" t="s">
        <v>4</v>
      </c>
      <c r="E12" s="369" t="s">
        <v>116</v>
      </c>
    </row>
    <row r="13" spans="3:5" ht="15.75">
      <c r="C13" s="368" t="s">
        <v>136</v>
      </c>
      <c r="D13" s="368" t="s">
        <v>4</v>
      </c>
      <c r="E13" s="369" t="s">
        <v>137</v>
      </c>
    </row>
    <row r="14" spans="3:5" ht="15.75">
      <c r="C14" s="368" t="s">
        <v>154</v>
      </c>
      <c r="D14" s="368" t="s">
        <v>4</v>
      </c>
      <c r="E14" s="369" t="s">
        <v>155</v>
      </c>
    </row>
    <row r="15" spans="3:5" ht="15.75">
      <c r="C15" s="368" t="s">
        <v>222</v>
      </c>
      <c r="D15" s="368" t="s">
        <v>4</v>
      </c>
      <c r="E15" s="369" t="s">
        <v>223</v>
      </c>
    </row>
    <row r="16" spans="3:5" ht="15.75">
      <c r="C16" s="368" t="s">
        <v>229</v>
      </c>
      <c r="D16" s="368" t="s">
        <v>4</v>
      </c>
      <c r="E16" s="369" t="s">
        <v>230</v>
      </c>
    </row>
    <row r="17" spans="3:5" ht="15.75">
      <c r="C17" s="368" t="s">
        <v>306</v>
      </c>
      <c r="D17" s="368" t="s">
        <v>4</v>
      </c>
      <c r="E17" s="369" t="s">
        <v>307</v>
      </c>
    </row>
    <row r="18" spans="3:5" ht="15.75">
      <c r="C18" s="368" t="s">
        <v>404</v>
      </c>
      <c r="D18" s="368" t="s">
        <v>4</v>
      </c>
      <c r="E18" s="369" t="s">
        <v>386</v>
      </c>
    </row>
    <row r="19" spans="3:5" ht="15.75">
      <c r="C19" s="368" t="s">
        <v>405</v>
      </c>
      <c r="D19" s="368" t="s">
        <v>4</v>
      </c>
      <c r="E19" s="369" t="s">
        <v>455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K62"/>
  <sheetViews>
    <sheetView zoomScale="80" zoomScaleNormal="80" zoomScalePageLayoutView="0" workbookViewId="0" topLeftCell="A22">
      <selection activeCell="L64" sqref="L64"/>
    </sheetView>
  </sheetViews>
  <sheetFormatPr defaultColWidth="9.140625" defaultRowHeight="12.75"/>
  <cols>
    <col min="1" max="1" width="2.00390625" style="1" customWidth="1"/>
    <col min="2" max="2" width="12.57421875" style="1" customWidth="1"/>
    <col min="3" max="3" width="10.7109375" style="1" customWidth="1"/>
    <col min="4" max="5" width="9.140625" style="1" customWidth="1"/>
    <col min="6" max="6" width="3.00390625" style="1" customWidth="1"/>
    <col min="7" max="7" width="28.421875" style="1" customWidth="1"/>
    <col min="8" max="8" width="16.00390625" style="1" customWidth="1"/>
    <col min="9" max="9" width="7.00390625" style="1" customWidth="1"/>
    <col min="10" max="10" width="18.140625" style="1" customWidth="1"/>
    <col min="11" max="11" width="8.57421875" style="1" customWidth="1"/>
    <col min="12" max="12" width="11.57421875" style="1" customWidth="1"/>
    <col min="13" max="13" width="6.7109375" style="1" customWidth="1"/>
    <col min="14" max="14" width="15.140625" style="1" customWidth="1"/>
    <col min="15" max="15" width="1.8515625" style="346" customWidth="1"/>
    <col min="16" max="16" width="13.421875" style="1" customWidth="1"/>
    <col min="17" max="19" width="9.140625" style="1" customWidth="1"/>
    <col min="20" max="20" width="11.421875" style="1" customWidth="1"/>
    <col min="21" max="21" width="3.00390625" style="1" customWidth="1"/>
    <col min="22" max="22" width="29.140625" style="1" customWidth="1"/>
    <col min="23" max="23" width="14.7109375" style="1" customWidth="1"/>
    <col min="24" max="24" width="11.00390625" style="1" customWidth="1"/>
    <col min="25" max="25" width="15.421875" style="1" customWidth="1"/>
    <col min="26" max="26" width="10.28125" style="1" bestFit="1" customWidth="1"/>
    <col min="27" max="27" width="5.8515625" style="1" customWidth="1"/>
    <col min="28" max="28" width="7.8515625" style="1" customWidth="1"/>
    <col min="29" max="30" width="9.140625" style="1" customWidth="1"/>
    <col min="31" max="31" width="19.00390625" style="1" customWidth="1"/>
    <col min="32" max="16384" width="9.140625" style="1" customWidth="1"/>
  </cols>
  <sheetData>
    <row r="1" ht="12.75">
      <c r="C1" s="1" t="s">
        <v>291</v>
      </c>
    </row>
    <row r="2" spans="16:34" ht="12.75"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2">
        <v>12</v>
      </c>
      <c r="AF2" s="292">
        <v>24</v>
      </c>
      <c r="AG2" s="292">
        <v>12</v>
      </c>
      <c r="AH2" s="292">
        <v>18</v>
      </c>
    </row>
    <row r="3" spans="3:34" ht="12.75">
      <c r="C3" s="82" t="s">
        <v>231</v>
      </c>
      <c r="D3" s="82" t="s">
        <v>232</v>
      </c>
      <c r="E3" s="82" t="s">
        <v>233</v>
      </c>
      <c r="F3" s="178"/>
      <c r="G3" s="291" t="s">
        <v>258</v>
      </c>
      <c r="H3" s="292">
        <v>3</v>
      </c>
      <c r="J3" s="293"/>
      <c r="K3" s="294"/>
      <c r="L3" s="294"/>
      <c r="M3" s="295"/>
      <c r="P3" s="290"/>
      <c r="Q3" s="82" t="s">
        <v>231</v>
      </c>
      <c r="R3" s="82" t="s">
        <v>232</v>
      </c>
      <c r="S3" s="82" t="s">
        <v>233</v>
      </c>
      <c r="T3" s="82" t="s">
        <v>234</v>
      </c>
      <c r="U3" s="9"/>
      <c r="V3" s="286" t="s">
        <v>258</v>
      </c>
      <c r="W3" s="292">
        <v>4</v>
      </c>
      <c r="X3" s="290"/>
      <c r="Y3" s="293"/>
      <c r="Z3" s="294"/>
      <c r="AA3" s="294"/>
      <c r="AB3" s="295"/>
      <c r="AC3" s="290"/>
      <c r="AD3" s="290"/>
      <c r="AE3" s="292">
        <v>15</v>
      </c>
      <c r="AF3" s="292">
        <v>12</v>
      </c>
      <c r="AG3" s="292">
        <v>14</v>
      </c>
      <c r="AH3" s="292">
        <v>3</v>
      </c>
    </row>
    <row r="4" spans="2:34" ht="12.75">
      <c r="B4" s="1">
        <v>1</v>
      </c>
      <c r="C4" s="292">
        <v>10</v>
      </c>
      <c r="D4" s="292">
        <v>6</v>
      </c>
      <c r="E4" s="292">
        <v>5</v>
      </c>
      <c r="F4" s="178"/>
      <c r="G4" s="296" t="s">
        <v>259</v>
      </c>
      <c r="H4" s="10">
        <f>SUM(C11:E11)</f>
        <v>15</v>
      </c>
      <c r="J4" s="297"/>
      <c r="K4" s="298"/>
      <c r="L4" s="298"/>
      <c r="M4" s="299"/>
      <c r="N4" s="1" t="s">
        <v>253</v>
      </c>
      <c r="P4" s="290">
        <v>1</v>
      </c>
      <c r="Q4" s="292">
        <v>12</v>
      </c>
      <c r="R4" s="292">
        <v>24</v>
      </c>
      <c r="S4" s="292">
        <v>12</v>
      </c>
      <c r="T4" s="292">
        <v>18</v>
      </c>
      <c r="U4" s="9"/>
      <c r="V4" s="286" t="s">
        <v>259</v>
      </c>
      <c r="W4" s="10">
        <f>SUM(Q14:T14)</f>
        <v>20</v>
      </c>
      <c r="X4" s="290"/>
      <c r="Y4" s="297"/>
      <c r="Z4" s="298"/>
      <c r="AA4" s="298"/>
      <c r="AB4" s="299"/>
      <c r="AC4" s="290" t="s">
        <v>253</v>
      </c>
      <c r="AD4" s="290"/>
      <c r="AE4" s="292">
        <v>18</v>
      </c>
      <c r="AF4" s="292">
        <v>2</v>
      </c>
      <c r="AG4" s="292">
        <v>2</v>
      </c>
      <c r="AH4" s="292">
        <v>4</v>
      </c>
    </row>
    <row r="5" spans="2:34" ht="12.75">
      <c r="B5" s="1">
        <v>2</v>
      </c>
      <c r="C5" s="292">
        <v>12</v>
      </c>
      <c r="D5" s="292">
        <v>8</v>
      </c>
      <c r="E5" s="292">
        <v>9</v>
      </c>
      <c r="F5" s="178"/>
      <c r="J5" s="297"/>
      <c r="K5" s="298"/>
      <c r="L5" s="298"/>
      <c r="M5" s="176">
        <f>SUM(C17:E17)/(H3-1)</f>
        <v>80.06666666666669</v>
      </c>
      <c r="N5" s="1" t="s">
        <v>249</v>
      </c>
      <c r="P5" s="290">
        <v>2</v>
      </c>
      <c r="Q5" s="292">
        <v>15</v>
      </c>
      <c r="R5" s="292">
        <v>12</v>
      </c>
      <c r="S5" s="292">
        <v>14</v>
      </c>
      <c r="T5" s="292">
        <v>3</v>
      </c>
      <c r="U5" s="9"/>
      <c r="V5" s="290"/>
      <c r="X5" s="290"/>
      <c r="Y5" s="297"/>
      <c r="Z5" s="298"/>
      <c r="AA5" s="298"/>
      <c r="AB5" s="300">
        <f>SUM(Q20:T20)/(W3-1)</f>
        <v>102.7333333333333</v>
      </c>
      <c r="AC5" s="290" t="s">
        <v>249</v>
      </c>
      <c r="AD5" s="290"/>
      <c r="AE5" s="292">
        <v>17</v>
      </c>
      <c r="AF5" s="292">
        <v>3</v>
      </c>
      <c r="AG5" s="292">
        <v>2</v>
      </c>
      <c r="AH5" s="292"/>
    </row>
    <row r="6" spans="2:34" ht="12.75">
      <c r="B6" s="1">
        <v>3</v>
      </c>
      <c r="C6" s="292">
        <v>9</v>
      </c>
      <c r="D6" s="292">
        <v>3</v>
      </c>
      <c r="E6" s="292">
        <v>12</v>
      </c>
      <c r="F6" s="178"/>
      <c r="G6" s="296" t="s">
        <v>262</v>
      </c>
      <c r="H6" s="10">
        <f>H3-1</f>
        <v>2</v>
      </c>
      <c r="J6" s="297"/>
      <c r="K6" s="298"/>
      <c r="L6" s="298"/>
      <c r="M6" s="299"/>
      <c r="P6" s="290">
        <v>3</v>
      </c>
      <c r="Q6" s="292">
        <v>18</v>
      </c>
      <c r="R6" s="292">
        <v>2</v>
      </c>
      <c r="S6" s="292">
        <v>2</v>
      </c>
      <c r="T6" s="292">
        <v>4</v>
      </c>
      <c r="U6" s="9"/>
      <c r="V6" s="286" t="s">
        <v>262</v>
      </c>
      <c r="W6" s="10">
        <f>W3-1</f>
        <v>3</v>
      </c>
      <c r="X6" s="290"/>
      <c r="Y6" s="297"/>
      <c r="Z6" s="298"/>
      <c r="AA6" s="298"/>
      <c r="AB6" s="299"/>
      <c r="AC6" s="290"/>
      <c r="AD6" s="290"/>
      <c r="AE6" s="292">
        <v>16</v>
      </c>
      <c r="AF6" s="292">
        <v>24</v>
      </c>
      <c r="AG6" s="292">
        <v>6</v>
      </c>
      <c r="AH6" s="292"/>
    </row>
    <row r="7" spans="2:30" ht="12.75">
      <c r="B7" s="1">
        <v>4</v>
      </c>
      <c r="C7" s="292">
        <v>15</v>
      </c>
      <c r="D7" s="292">
        <v>0</v>
      </c>
      <c r="E7" s="292">
        <v>8</v>
      </c>
      <c r="F7" s="178"/>
      <c r="G7" s="296" t="s">
        <v>263</v>
      </c>
      <c r="H7" s="10">
        <f>H4-H3</f>
        <v>12</v>
      </c>
      <c r="J7" s="301"/>
      <c r="K7" s="302"/>
      <c r="L7" s="302"/>
      <c r="M7" s="303"/>
      <c r="P7" s="290">
        <v>4</v>
      </c>
      <c r="Q7" s="292">
        <v>17</v>
      </c>
      <c r="R7" s="292">
        <v>3</v>
      </c>
      <c r="S7" s="292">
        <v>2</v>
      </c>
      <c r="T7" s="292">
        <v>5</v>
      </c>
      <c r="U7" s="9"/>
      <c r="V7" s="286" t="s">
        <v>263</v>
      </c>
      <c r="W7" s="10">
        <f>W4-W3</f>
        <v>16</v>
      </c>
      <c r="X7" s="290"/>
      <c r="Y7" s="301"/>
      <c r="Z7" s="302"/>
      <c r="AA7" s="302"/>
      <c r="AB7" s="303"/>
      <c r="AC7" s="290"/>
      <c r="AD7" s="290"/>
    </row>
    <row r="8" spans="2:37" ht="12.75">
      <c r="B8" s="1">
        <v>5</v>
      </c>
      <c r="C8" s="292">
        <v>13</v>
      </c>
      <c r="D8" s="292">
        <v>2</v>
      </c>
      <c r="E8" s="292">
        <v>4</v>
      </c>
      <c r="F8" s="178"/>
      <c r="P8" s="290">
        <v>5</v>
      </c>
      <c r="Q8" s="292">
        <v>16</v>
      </c>
      <c r="R8" s="292">
        <v>24</v>
      </c>
      <c r="S8" s="292">
        <v>6</v>
      </c>
      <c r="T8" s="292">
        <v>1</v>
      </c>
      <c r="U8" s="9"/>
      <c r="V8" s="290"/>
      <c r="W8" s="290"/>
      <c r="X8" s="290"/>
      <c r="Y8" s="290"/>
      <c r="Z8" s="290"/>
      <c r="AA8" s="290"/>
      <c r="AB8" s="290"/>
      <c r="AC8" s="290"/>
      <c r="AD8" s="290"/>
      <c r="AE8" t="s">
        <v>271</v>
      </c>
      <c r="AF8"/>
      <c r="AG8"/>
      <c r="AH8"/>
      <c r="AI8"/>
      <c r="AJ8"/>
      <c r="AK8"/>
    </row>
    <row r="9" spans="2:37" ht="12.75">
      <c r="B9" s="304"/>
      <c r="C9" s="178"/>
      <c r="D9" s="178"/>
      <c r="E9" s="178"/>
      <c r="F9" s="178"/>
      <c r="G9" s="293"/>
      <c r="H9" s="295"/>
      <c r="J9" s="293"/>
      <c r="K9" s="294"/>
      <c r="L9" s="294"/>
      <c r="M9" s="295"/>
      <c r="P9" s="84">
        <v>6</v>
      </c>
      <c r="Q9" s="292"/>
      <c r="R9" s="292"/>
      <c r="S9" s="292"/>
      <c r="T9" s="292"/>
      <c r="U9" s="9"/>
      <c r="V9" s="290"/>
      <c r="W9" s="290"/>
      <c r="X9" s="290"/>
      <c r="Y9" s="293"/>
      <c r="Z9" s="294"/>
      <c r="AA9" s="294"/>
      <c r="AB9" s="295"/>
      <c r="AC9" s="290"/>
      <c r="AD9" s="290"/>
      <c r="AE9"/>
      <c r="AF9"/>
      <c r="AG9"/>
      <c r="AH9"/>
      <c r="AI9"/>
      <c r="AJ9"/>
      <c r="AK9"/>
    </row>
    <row r="10" spans="2:37" ht="13.5" thickBot="1">
      <c r="B10" s="305" t="s">
        <v>237</v>
      </c>
      <c r="C10" s="10">
        <f>SUM(C4:C8)</f>
        <v>59</v>
      </c>
      <c r="D10" s="10">
        <f>SUM(D4:D8)</f>
        <v>19</v>
      </c>
      <c r="E10" s="10">
        <f>SUM(E4:E8)</f>
        <v>38</v>
      </c>
      <c r="F10" s="178"/>
      <c r="G10" s="297"/>
      <c r="H10" s="299"/>
      <c r="J10" s="297"/>
      <c r="K10" s="298"/>
      <c r="L10" s="298"/>
      <c r="M10" s="299"/>
      <c r="N10" s="1" t="s">
        <v>254</v>
      </c>
      <c r="P10" s="84">
        <v>7</v>
      </c>
      <c r="Q10" s="292"/>
      <c r="R10" s="292"/>
      <c r="S10" s="292"/>
      <c r="T10" s="292"/>
      <c r="U10" s="9"/>
      <c r="V10" s="290"/>
      <c r="W10" s="290"/>
      <c r="X10" s="290"/>
      <c r="Y10" s="297"/>
      <c r="Z10" s="298"/>
      <c r="AA10" s="298"/>
      <c r="AB10" s="299"/>
      <c r="AC10" s="290" t="s">
        <v>254</v>
      </c>
      <c r="AD10" s="290"/>
      <c r="AE10" t="s">
        <v>272</v>
      </c>
      <c r="AF10"/>
      <c r="AG10"/>
      <c r="AH10"/>
      <c r="AI10"/>
      <c r="AJ10"/>
      <c r="AK10"/>
    </row>
    <row r="11" spans="2:37" ht="12.75">
      <c r="B11" s="305" t="s">
        <v>29</v>
      </c>
      <c r="C11" s="307">
        <v>5</v>
      </c>
      <c r="D11" s="307">
        <v>5</v>
      </c>
      <c r="E11" s="307">
        <v>5</v>
      </c>
      <c r="F11" s="178"/>
      <c r="G11" s="297"/>
      <c r="H11" s="176">
        <f>SUM(C10:E10)/H4</f>
        <v>7.733333333333333</v>
      </c>
      <c r="J11" s="297"/>
      <c r="K11" s="298"/>
      <c r="L11" s="298"/>
      <c r="M11" s="176">
        <f>SUM(C20:E20)/SUM(C19:E19)</f>
        <v>8.733333333333329</v>
      </c>
      <c r="N11" s="1" t="s">
        <v>250</v>
      </c>
      <c r="P11" s="84">
        <v>8</v>
      </c>
      <c r="Q11" s="292"/>
      <c r="R11" s="292"/>
      <c r="S11" s="292"/>
      <c r="T11" s="292"/>
      <c r="U11" s="9"/>
      <c r="V11" s="290"/>
      <c r="W11" s="290"/>
      <c r="X11" s="290"/>
      <c r="Y11" s="297"/>
      <c r="Z11" s="298"/>
      <c r="AA11" s="298"/>
      <c r="AB11" s="176">
        <f>SUM(Q23:T23)/SUM(Q22:T22)</f>
        <v>49.550000000000004</v>
      </c>
      <c r="AC11" s="290" t="s">
        <v>250</v>
      </c>
      <c r="AD11" s="290"/>
      <c r="AE11" s="81" t="s">
        <v>273</v>
      </c>
      <c r="AF11" s="81" t="s">
        <v>274</v>
      </c>
      <c r="AG11" s="81" t="s">
        <v>275</v>
      </c>
      <c r="AH11" s="81" t="s">
        <v>276</v>
      </c>
      <c r="AI11" s="81" t="s">
        <v>277</v>
      </c>
      <c r="AJ11"/>
      <c r="AK11"/>
    </row>
    <row r="12" spans="2:37" ht="12.75">
      <c r="B12" s="305" t="s">
        <v>0</v>
      </c>
      <c r="C12" s="176">
        <f>SUM(C4:C8)/C11</f>
        <v>11.8</v>
      </c>
      <c r="D12" s="176">
        <f>SUM(D4:D8)/D11</f>
        <v>3.8</v>
      </c>
      <c r="E12" s="176">
        <f>SUM(E4:E8)/E11</f>
        <v>7.6</v>
      </c>
      <c r="F12" s="178"/>
      <c r="G12" s="297"/>
      <c r="H12" s="299"/>
      <c r="J12" s="297"/>
      <c r="K12" s="298"/>
      <c r="L12" s="298"/>
      <c r="M12" s="299"/>
      <c r="P12" s="84"/>
      <c r="Q12" s="172"/>
      <c r="R12" s="172"/>
      <c r="S12" s="172"/>
      <c r="T12" s="172"/>
      <c r="U12" s="9"/>
      <c r="V12" s="290"/>
      <c r="W12" s="290"/>
      <c r="X12" s="290"/>
      <c r="Y12" s="297"/>
      <c r="Z12" s="298"/>
      <c r="AA12" s="298"/>
      <c r="AB12" s="299"/>
      <c r="AC12" s="290"/>
      <c r="AD12" s="290"/>
      <c r="AE12" s="79" t="s">
        <v>278</v>
      </c>
      <c r="AF12" s="79">
        <v>5</v>
      </c>
      <c r="AG12" s="79">
        <v>78</v>
      </c>
      <c r="AH12" s="79">
        <v>15.6</v>
      </c>
      <c r="AI12" s="79">
        <v>5.300000000000011</v>
      </c>
      <c r="AJ12"/>
      <c r="AK12"/>
    </row>
    <row r="13" spans="2:37" ht="12.75">
      <c r="B13" s="305" t="s">
        <v>1</v>
      </c>
      <c r="C13" s="176">
        <f>STDEV(C4:C8)</f>
        <v>2.387467277262662</v>
      </c>
      <c r="D13" s="176">
        <f>STDEV(D4:D8)</f>
        <v>3.1937438845342623</v>
      </c>
      <c r="E13" s="176">
        <f>STDEV(E4:E8)</f>
        <v>3.209361307176242</v>
      </c>
      <c r="F13" s="178"/>
      <c r="G13" s="297"/>
      <c r="H13" s="299"/>
      <c r="J13" s="297"/>
      <c r="K13" s="298"/>
      <c r="L13" s="298"/>
      <c r="M13" s="299"/>
      <c r="P13" s="170" t="s">
        <v>237</v>
      </c>
      <c r="Q13" s="10">
        <f>SUM(Q4:Q11)</f>
        <v>78</v>
      </c>
      <c r="R13" s="10">
        <f>SUM(R4:R11)</f>
        <v>65</v>
      </c>
      <c r="S13" s="10">
        <f>SUM(S4:S11)</f>
        <v>36</v>
      </c>
      <c r="T13" s="10">
        <f>SUM(T4:T11)</f>
        <v>31</v>
      </c>
      <c r="U13" s="9"/>
      <c r="V13" s="290"/>
      <c r="W13" s="290"/>
      <c r="X13" s="290"/>
      <c r="Y13" s="297"/>
      <c r="Z13" s="298"/>
      <c r="AA13" s="298"/>
      <c r="AB13" s="299"/>
      <c r="AC13" s="290"/>
      <c r="AD13" s="290"/>
      <c r="AE13" s="79" t="s">
        <v>279</v>
      </c>
      <c r="AF13" s="79">
        <v>5</v>
      </c>
      <c r="AG13" s="79">
        <v>65</v>
      </c>
      <c r="AH13" s="79">
        <v>13</v>
      </c>
      <c r="AI13" s="79">
        <v>116</v>
      </c>
      <c r="AJ13"/>
      <c r="AK13"/>
    </row>
    <row r="14" spans="2:37" ht="12.75">
      <c r="B14" s="305"/>
      <c r="F14" s="178"/>
      <c r="G14" s="301"/>
      <c r="H14" s="303"/>
      <c r="J14" s="301"/>
      <c r="K14" s="302"/>
      <c r="L14" s="302"/>
      <c r="M14" s="303"/>
      <c r="P14" s="170" t="s">
        <v>29</v>
      </c>
      <c r="Q14" s="292">
        <v>5</v>
      </c>
      <c r="R14" s="292">
        <v>5</v>
      </c>
      <c r="S14" s="292">
        <v>5</v>
      </c>
      <c r="T14" s="292">
        <v>5</v>
      </c>
      <c r="U14" s="9"/>
      <c r="V14" s="84"/>
      <c r="W14" s="84"/>
      <c r="X14" s="290"/>
      <c r="Y14" s="301"/>
      <c r="Z14" s="302"/>
      <c r="AA14" s="302"/>
      <c r="AB14" s="303"/>
      <c r="AC14" s="290"/>
      <c r="AD14" s="290"/>
      <c r="AE14" s="79" t="s">
        <v>280</v>
      </c>
      <c r="AF14" s="79">
        <v>5</v>
      </c>
      <c r="AG14" s="79">
        <v>36</v>
      </c>
      <c r="AH14" s="79">
        <v>7.2</v>
      </c>
      <c r="AI14" s="79">
        <v>31.200000000000003</v>
      </c>
      <c r="AJ14"/>
      <c r="AK14"/>
    </row>
    <row r="15" spans="2:37" ht="13.5" thickBot="1">
      <c r="B15" s="305" t="s">
        <v>235</v>
      </c>
      <c r="C15" s="176">
        <f>C12-H11</f>
        <v>4.066666666666667</v>
      </c>
      <c r="D15" s="176">
        <f>D12-H11</f>
        <v>-3.9333333333333336</v>
      </c>
      <c r="E15" s="176">
        <f>E12-H11</f>
        <v>-0.13333333333333375</v>
      </c>
      <c r="F15" s="308"/>
      <c r="P15" s="170" t="s">
        <v>0</v>
      </c>
      <c r="Q15" s="10">
        <f>SUM(Q4:Q11)/Q14</f>
        <v>15.6</v>
      </c>
      <c r="R15" s="10">
        <f>SUM(R4:R11)/R14</f>
        <v>13</v>
      </c>
      <c r="S15" s="10">
        <f>SUM(S4:S11)/S14</f>
        <v>7.2</v>
      </c>
      <c r="T15" s="309">
        <f>SUM(T4:T11)/T14</f>
        <v>6.2</v>
      </c>
      <c r="U15" s="9"/>
      <c r="V15" s="293"/>
      <c r="W15" s="295"/>
      <c r="X15" s="290"/>
      <c r="Y15" s="290"/>
      <c r="Z15" s="290"/>
      <c r="AA15" s="290"/>
      <c r="AB15" s="290"/>
      <c r="AC15" s="290"/>
      <c r="AD15" s="290"/>
      <c r="AE15" s="341" t="s">
        <v>281</v>
      </c>
      <c r="AF15" s="80">
        <v>3</v>
      </c>
      <c r="AG15" s="80">
        <v>25</v>
      </c>
      <c r="AH15" s="80">
        <v>8.333333333333334</v>
      </c>
      <c r="AI15" s="80">
        <v>70.33333333333333</v>
      </c>
      <c r="AJ15"/>
      <c r="AK15"/>
    </row>
    <row r="16" spans="2:37" ht="14.25">
      <c r="B16" s="305" t="s">
        <v>267</v>
      </c>
      <c r="C16" s="176">
        <f>C15*C15</f>
        <v>16.537777777777784</v>
      </c>
      <c r="D16" s="176">
        <f>D15*D15</f>
        <v>15.471111111111114</v>
      </c>
      <c r="E16" s="176">
        <f>E15*E15</f>
        <v>0.01777777777777789</v>
      </c>
      <c r="F16" s="306"/>
      <c r="K16" s="293"/>
      <c r="L16" s="294"/>
      <c r="M16" s="295"/>
      <c r="N16" s="77"/>
      <c r="P16" s="170" t="s">
        <v>1</v>
      </c>
      <c r="Q16" s="263">
        <f>STDEV(Q4:Q11)</f>
        <v>2.30217288664427</v>
      </c>
      <c r="R16" s="263">
        <f>STDEV(R4:R11)</f>
        <v>10.770329614269007</v>
      </c>
      <c r="S16" s="263">
        <f>STDEV(S4:S11)</f>
        <v>5.585696017507577</v>
      </c>
      <c r="T16" s="263">
        <f>STDEV(T4:T11)</f>
        <v>6.760177512462229</v>
      </c>
      <c r="U16" s="84"/>
      <c r="V16" s="297"/>
      <c r="W16" s="278">
        <f>SUM(Q13:T13)/W4</f>
        <v>10.5</v>
      </c>
      <c r="X16" s="290"/>
      <c r="Y16" s="290"/>
      <c r="Z16" s="293"/>
      <c r="AA16" s="294"/>
      <c r="AB16" s="295"/>
      <c r="AC16" s="290"/>
      <c r="AD16" s="290"/>
      <c r="AE16"/>
      <c r="AF16"/>
      <c r="AG16"/>
      <c r="AH16"/>
      <c r="AI16"/>
      <c r="AJ16"/>
      <c r="AK16"/>
    </row>
    <row r="17" spans="2:37" ht="14.25">
      <c r="B17" s="305" t="s">
        <v>268</v>
      </c>
      <c r="C17" s="176">
        <f>C11*C16</f>
        <v>82.68888888888893</v>
      </c>
      <c r="D17" s="176">
        <f>D11*D16</f>
        <v>77.35555555555557</v>
      </c>
      <c r="E17" s="176">
        <f>E11*E16</f>
        <v>0.08888888888888945</v>
      </c>
      <c r="F17" s="306" t="s">
        <v>252</v>
      </c>
      <c r="G17" s="296" t="s">
        <v>260</v>
      </c>
      <c r="H17" s="176">
        <f>SUM(C17:E17)</f>
        <v>160.13333333333338</v>
      </c>
      <c r="K17" s="297"/>
      <c r="L17" s="298"/>
      <c r="M17" s="299"/>
      <c r="N17" s="306" t="s">
        <v>251</v>
      </c>
      <c r="P17" s="170"/>
      <c r="Q17" s="172"/>
      <c r="R17" s="172"/>
      <c r="S17" s="172"/>
      <c r="T17" s="172"/>
      <c r="U17" s="290"/>
      <c r="V17" s="297"/>
      <c r="W17" s="338"/>
      <c r="X17" s="290"/>
      <c r="Y17" s="290"/>
      <c r="Z17" s="297"/>
      <c r="AA17" s="298"/>
      <c r="AB17" s="299"/>
      <c r="AC17" s="84" t="s">
        <v>251</v>
      </c>
      <c r="AD17" s="290"/>
      <c r="AE17"/>
      <c r="AF17"/>
      <c r="AG17"/>
      <c r="AH17"/>
      <c r="AI17"/>
      <c r="AJ17"/>
      <c r="AK17"/>
    </row>
    <row r="18" spans="2:37" ht="13.5" thickBot="1">
      <c r="B18" s="305"/>
      <c r="F18" s="306"/>
      <c r="K18" s="297"/>
      <c r="L18" s="298"/>
      <c r="M18" s="176">
        <f>M5/M11</f>
        <v>9.167938931297718</v>
      </c>
      <c r="N18" s="1" t="s">
        <v>256</v>
      </c>
      <c r="P18" s="170" t="s">
        <v>235</v>
      </c>
      <c r="Q18" s="263">
        <f>Q15-W16</f>
        <v>5.1</v>
      </c>
      <c r="R18" s="263">
        <f>R15-W16</f>
        <v>2.5</v>
      </c>
      <c r="S18" s="278">
        <f>S15-W16</f>
        <v>-3.3</v>
      </c>
      <c r="T18" s="10">
        <f>T15-W16</f>
        <v>-4.3</v>
      </c>
      <c r="U18" s="290"/>
      <c r="V18" s="301"/>
      <c r="W18" s="339"/>
      <c r="X18" s="290"/>
      <c r="Y18" s="290"/>
      <c r="Z18" s="297"/>
      <c r="AA18" s="298"/>
      <c r="AB18" s="311">
        <f>AB5/AB11</f>
        <v>2.073326606121762</v>
      </c>
      <c r="AC18" s="290" t="s">
        <v>256</v>
      </c>
      <c r="AD18" s="290"/>
      <c r="AE18" t="s">
        <v>229</v>
      </c>
      <c r="AF18"/>
      <c r="AG18"/>
      <c r="AH18"/>
      <c r="AI18"/>
      <c r="AJ18"/>
      <c r="AK18"/>
    </row>
    <row r="19" spans="2:37" ht="14.25">
      <c r="B19" s="305" t="s">
        <v>236</v>
      </c>
      <c r="C19" s="176">
        <f>C11-1</f>
        <v>4</v>
      </c>
      <c r="D19" s="176">
        <f>D11-1</f>
        <v>4</v>
      </c>
      <c r="E19" s="176">
        <f>E11-1</f>
        <v>4</v>
      </c>
      <c r="F19" s="77"/>
      <c r="K19" s="297"/>
      <c r="L19" s="298"/>
      <c r="M19" s="299"/>
      <c r="N19" s="306"/>
      <c r="P19" s="170" t="s">
        <v>267</v>
      </c>
      <c r="Q19" s="263">
        <f>Q18*Q18</f>
        <v>26.009999999999998</v>
      </c>
      <c r="R19" s="263">
        <f>R18*R18</f>
        <v>6.25</v>
      </c>
      <c r="S19" s="278">
        <f>S18*S18</f>
        <v>10.889999999999999</v>
      </c>
      <c r="T19" s="10">
        <f>T18*T18</f>
        <v>18.49</v>
      </c>
      <c r="U19" s="290"/>
      <c r="V19" s="84"/>
      <c r="W19" s="9"/>
      <c r="X19" s="290"/>
      <c r="Y19" s="290"/>
      <c r="Z19" s="297"/>
      <c r="AA19" s="298"/>
      <c r="AB19" s="299"/>
      <c r="AC19" s="84"/>
      <c r="AD19" s="290"/>
      <c r="AE19" s="81" t="s">
        <v>282</v>
      </c>
      <c r="AF19" s="81" t="s">
        <v>283</v>
      </c>
      <c r="AG19" s="81" t="s">
        <v>284</v>
      </c>
      <c r="AH19" s="81" t="s">
        <v>285</v>
      </c>
      <c r="AI19" s="81" t="s">
        <v>242</v>
      </c>
      <c r="AJ19" s="81" t="s">
        <v>286</v>
      </c>
      <c r="AK19" s="81" t="s">
        <v>287</v>
      </c>
    </row>
    <row r="20" spans="2:37" ht="14.25">
      <c r="B20" s="305" t="s">
        <v>269</v>
      </c>
      <c r="C20" s="176">
        <f>C19*C13*C13</f>
        <v>22.799999999999958</v>
      </c>
      <c r="D20" s="176">
        <f>D19*D13*D13</f>
        <v>40.8</v>
      </c>
      <c r="E20" s="176">
        <f>E19*E13*E13</f>
        <v>41.19999999999999</v>
      </c>
      <c r="F20" s="306" t="s">
        <v>252</v>
      </c>
      <c r="G20" s="296" t="s">
        <v>261</v>
      </c>
      <c r="H20" s="10">
        <f>SUM(C20:E20)</f>
        <v>104.79999999999994</v>
      </c>
      <c r="K20" s="297"/>
      <c r="L20" s="298"/>
      <c r="M20" s="299"/>
      <c r="N20" s="306"/>
      <c r="P20" s="170" t="s">
        <v>268</v>
      </c>
      <c r="Q20" s="263">
        <f>Q14*Q19</f>
        <v>130.04999999999998</v>
      </c>
      <c r="R20" s="263">
        <f>R14*R19</f>
        <v>31.25</v>
      </c>
      <c r="S20" s="278">
        <f>S14*S19</f>
        <v>54.449999999999996</v>
      </c>
      <c r="T20" s="10">
        <f>T14*T19</f>
        <v>92.44999999999999</v>
      </c>
      <c r="U20" s="84" t="s">
        <v>252</v>
      </c>
      <c r="V20" s="296" t="s">
        <v>260</v>
      </c>
      <c r="W20" s="278">
        <f>SUM(Q20:T20)</f>
        <v>308.19999999999993</v>
      </c>
      <c r="X20" s="290"/>
      <c r="Y20" s="290"/>
      <c r="Z20" s="297"/>
      <c r="AA20" s="298"/>
      <c r="AB20" s="299"/>
      <c r="AC20" s="84"/>
      <c r="AD20" s="290"/>
      <c r="AE20" s="79" t="s">
        <v>288</v>
      </c>
      <c r="AF20" s="79">
        <v>217.33333333333337</v>
      </c>
      <c r="AG20" s="79">
        <v>3</v>
      </c>
      <c r="AH20" s="79">
        <v>72.44444444444446</v>
      </c>
      <c r="AI20" s="79">
        <v>1.3510953226761402</v>
      </c>
      <c r="AJ20" s="79">
        <v>0.29808498632248037</v>
      </c>
      <c r="AK20" s="79">
        <v>3.3438886807214594</v>
      </c>
    </row>
    <row r="21" spans="6:37" ht="12.75">
      <c r="F21" s="306"/>
      <c r="K21" s="301"/>
      <c r="L21" s="302"/>
      <c r="M21" s="303"/>
      <c r="N21" s="306"/>
      <c r="P21" s="170"/>
      <c r="Q21" s="172"/>
      <c r="R21" s="172"/>
      <c r="S21" s="172"/>
      <c r="T21" s="172"/>
      <c r="U21" s="84"/>
      <c r="V21" s="290"/>
      <c r="W21" s="172"/>
      <c r="X21" s="290"/>
      <c r="Y21" s="290"/>
      <c r="Z21" s="301"/>
      <c r="AA21" s="302"/>
      <c r="AB21" s="303"/>
      <c r="AC21" s="84"/>
      <c r="AD21" s="290"/>
      <c r="AE21" s="79" t="s">
        <v>289</v>
      </c>
      <c r="AF21" s="79">
        <v>750.6666666666666</v>
      </c>
      <c r="AG21" s="79">
        <v>14</v>
      </c>
      <c r="AH21" s="79">
        <v>53.61904761904761</v>
      </c>
      <c r="AI21" s="79"/>
      <c r="AJ21" s="79"/>
      <c r="AK21" s="79"/>
    </row>
    <row r="22" spans="6:37" ht="12.75">
      <c r="F22" s="306"/>
      <c r="N22" s="77"/>
      <c r="P22" s="170" t="s">
        <v>236</v>
      </c>
      <c r="Q22" s="10">
        <f>Q14-1</f>
        <v>4</v>
      </c>
      <c r="R22" s="10">
        <f>R14-1</f>
        <v>4</v>
      </c>
      <c r="S22" s="10">
        <f>S14-1</f>
        <v>4</v>
      </c>
      <c r="T22" s="10">
        <f>T14-1</f>
        <v>4</v>
      </c>
      <c r="U22" s="290" t="s">
        <v>252</v>
      </c>
      <c r="V22" s="285" t="s">
        <v>270</v>
      </c>
      <c r="W22" s="10">
        <f>SUM(Q22:T22)</f>
        <v>16</v>
      </c>
      <c r="X22" s="290"/>
      <c r="Y22" s="290"/>
      <c r="Z22" s="290"/>
      <c r="AA22" s="290"/>
      <c r="AB22" s="290"/>
      <c r="AC22" s="290"/>
      <c r="AD22" s="290"/>
      <c r="AE22" s="79"/>
      <c r="AF22" s="79"/>
      <c r="AG22" s="79"/>
      <c r="AH22" s="79"/>
      <c r="AI22" s="79"/>
      <c r="AJ22" s="79"/>
      <c r="AK22" s="79"/>
    </row>
    <row r="23" spans="6:37" ht="15" thickBot="1">
      <c r="F23" s="77"/>
      <c r="L23" s="296" t="s">
        <v>37</v>
      </c>
      <c r="M23" s="176">
        <f>FDIST(M18,H3,H4)</f>
        <v>0.0010891614104785478</v>
      </c>
      <c r="N23" s="306"/>
      <c r="P23" s="170" t="s">
        <v>269</v>
      </c>
      <c r="Q23" s="10">
        <f>Q22*Q16*Q16</f>
        <v>21.200000000000045</v>
      </c>
      <c r="R23" s="10">
        <f>R22*R16*R16</f>
        <v>463.99999999999994</v>
      </c>
      <c r="S23" s="10">
        <f>S22*S16*S16</f>
        <v>124.80000000000003</v>
      </c>
      <c r="T23" s="278">
        <f>T22*T16*T16</f>
        <v>182.80000000000004</v>
      </c>
      <c r="U23" s="84" t="s">
        <v>252</v>
      </c>
      <c r="V23" s="296" t="s">
        <v>264</v>
      </c>
      <c r="W23" s="278">
        <f>SUM(Q23:T23)</f>
        <v>792.8000000000001</v>
      </c>
      <c r="X23" s="290"/>
      <c r="Y23" s="290"/>
      <c r="Z23" s="84"/>
      <c r="AA23" s="312" t="s">
        <v>37</v>
      </c>
      <c r="AB23" s="311">
        <f>FDIST(AB18,W3,W4)</f>
        <v>0.12245795105143824</v>
      </c>
      <c r="AC23" s="84"/>
      <c r="AD23" s="290"/>
      <c r="AE23" s="80" t="s">
        <v>290</v>
      </c>
      <c r="AF23" s="80">
        <v>968</v>
      </c>
      <c r="AG23" s="80">
        <v>17</v>
      </c>
      <c r="AH23" s="80"/>
      <c r="AI23" s="80"/>
      <c r="AJ23" s="80"/>
      <c r="AK23" s="80"/>
    </row>
    <row r="24" spans="6:30" ht="12.75">
      <c r="F24" s="306"/>
      <c r="J24" s="313"/>
      <c r="K24" s="314"/>
      <c r="L24" s="315" t="s">
        <v>266</v>
      </c>
      <c r="M24" s="176">
        <f>FINV(0.05,H6,H7)</f>
        <v>3.8852938347033836</v>
      </c>
      <c r="N24" s="306"/>
      <c r="P24" s="290"/>
      <c r="Q24" s="290"/>
      <c r="R24" s="290"/>
      <c r="S24" s="290"/>
      <c r="T24" s="290"/>
      <c r="U24" s="84"/>
      <c r="V24" s="290"/>
      <c r="X24" s="290"/>
      <c r="Y24" s="336"/>
      <c r="Z24" s="314"/>
      <c r="AA24" s="315" t="s">
        <v>265</v>
      </c>
      <c r="AB24" s="311">
        <f>FINV(0.05,W6,W7)</f>
        <v>3.238871522361091</v>
      </c>
      <c r="AC24" s="84"/>
      <c r="AD24" s="290"/>
    </row>
    <row r="25" spans="14:30" ht="12.75">
      <c r="N25" s="306"/>
      <c r="P25" s="290"/>
      <c r="Q25" s="290"/>
      <c r="R25" s="290"/>
      <c r="S25" s="290"/>
      <c r="T25" s="290"/>
      <c r="U25" s="290"/>
      <c r="V25" s="290"/>
      <c r="W25" s="290"/>
      <c r="X25" s="290"/>
      <c r="Y25" s="290"/>
      <c r="Z25" s="290"/>
      <c r="AA25" s="290"/>
      <c r="AB25" s="290"/>
      <c r="AC25" s="84"/>
      <c r="AD25" s="290"/>
    </row>
    <row r="26" spans="14:30" ht="13.5" thickBot="1">
      <c r="N26" s="306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84"/>
      <c r="AD26" s="290"/>
    </row>
    <row r="27" spans="6:30" ht="12.75">
      <c r="F27" s="316"/>
      <c r="G27" s="317"/>
      <c r="H27" s="317"/>
      <c r="I27" s="317"/>
      <c r="J27" s="317"/>
      <c r="K27" s="317"/>
      <c r="L27" s="317"/>
      <c r="M27" s="318"/>
      <c r="N27" s="306"/>
      <c r="P27" s="290"/>
      <c r="Q27" s="290"/>
      <c r="R27" s="290"/>
      <c r="S27" s="290"/>
      <c r="T27" s="290"/>
      <c r="U27" s="327"/>
      <c r="V27" s="328"/>
      <c r="W27" s="328"/>
      <c r="X27" s="328"/>
      <c r="Y27" s="328"/>
      <c r="Z27" s="328"/>
      <c r="AA27" s="328"/>
      <c r="AB27" s="332"/>
      <c r="AC27" s="84"/>
      <c r="AD27" s="290"/>
    </row>
    <row r="28" spans="6:30" ht="12.75">
      <c r="F28" s="319"/>
      <c r="G28" s="82" t="s">
        <v>240</v>
      </c>
      <c r="H28" s="82" t="s">
        <v>241</v>
      </c>
      <c r="I28" s="82" t="s">
        <v>110</v>
      </c>
      <c r="J28" s="320" t="s">
        <v>257</v>
      </c>
      <c r="K28" s="321"/>
      <c r="L28" s="322" t="s">
        <v>242</v>
      </c>
      <c r="M28" s="323"/>
      <c r="N28" s="306"/>
      <c r="P28" s="290"/>
      <c r="Q28" s="290"/>
      <c r="R28" s="290"/>
      <c r="S28" s="290"/>
      <c r="T28" s="290"/>
      <c r="U28" s="329"/>
      <c r="V28" s="171" t="s">
        <v>240</v>
      </c>
      <c r="W28" s="344" t="s">
        <v>241</v>
      </c>
      <c r="X28" s="171" t="s">
        <v>110</v>
      </c>
      <c r="Y28" s="333" t="s">
        <v>257</v>
      </c>
      <c r="Z28" s="285"/>
      <c r="AA28" s="334" t="s">
        <v>242</v>
      </c>
      <c r="AB28" s="340"/>
      <c r="AC28" s="84"/>
      <c r="AD28" s="290"/>
    </row>
    <row r="29" spans="6:30" ht="12.75">
      <c r="F29" s="319"/>
      <c r="G29" s="178" t="s">
        <v>243</v>
      </c>
      <c r="H29" s="304" t="s">
        <v>244</v>
      </c>
      <c r="I29" s="178" t="s">
        <v>238</v>
      </c>
      <c r="J29" s="304" t="s">
        <v>247</v>
      </c>
      <c r="K29" s="304"/>
      <c r="L29" s="306"/>
      <c r="M29" s="324"/>
      <c r="N29" s="77"/>
      <c r="P29" s="290"/>
      <c r="Q29" s="290"/>
      <c r="R29" s="290"/>
      <c r="S29" s="290"/>
      <c r="T29" s="290"/>
      <c r="U29" s="329"/>
      <c r="V29" s="84"/>
      <c r="W29" s="304" t="s">
        <v>244</v>
      </c>
      <c r="X29" s="178" t="s">
        <v>238</v>
      </c>
      <c r="Y29" s="304" t="s">
        <v>247</v>
      </c>
      <c r="Z29" s="84"/>
      <c r="AA29" s="84"/>
      <c r="AB29" s="335"/>
      <c r="AC29" s="290"/>
      <c r="AD29" s="290"/>
    </row>
    <row r="30" spans="6:30" ht="12.75">
      <c r="F30" s="319"/>
      <c r="G30" s="308"/>
      <c r="H30" s="176">
        <f>H17</f>
        <v>160.13333333333338</v>
      </c>
      <c r="I30" s="10">
        <f>H3-1</f>
        <v>2</v>
      </c>
      <c r="J30" s="176">
        <f>M5</f>
        <v>80.06666666666669</v>
      </c>
      <c r="K30" s="304"/>
      <c r="L30" s="306" t="s">
        <v>255</v>
      </c>
      <c r="M30" s="324"/>
      <c r="N30" s="77"/>
      <c r="P30" s="290"/>
      <c r="Q30" s="290"/>
      <c r="R30" s="290"/>
      <c r="S30" s="290"/>
      <c r="T30" s="290"/>
      <c r="U30" s="329"/>
      <c r="V30" s="9" t="s">
        <v>243</v>
      </c>
      <c r="W30" s="278">
        <f>W20</f>
        <v>308.19999999999993</v>
      </c>
      <c r="X30" s="10">
        <f>W3-1</f>
        <v>3</v>
      </c>
      <c r="Y30" s="278">
        <f>AB5</f>
        <v>102.7333333333333</v>
      </c>
      <c r="Z30" s="84"/>
      <c r="AA30" s="306" t="s">
        <v>255</v>
      </c>
      <c r="AB30" s="335"/>
      <c r="AC30" s="290"/>
      <c r="AD30" s="290"/>
    </row>
    <row r="31" spans="6:30" ht="12.75">
      <c r="F31" s="319"/>
      <c r="G31" s="178"/>
      <c r="H31" s="304"/>
      <c r="I31" s="178"/>
      <c r="J31" s="304"/>
      <c r="K31" s="306"/>
      <c r="L31" s="176">
        <f>J30/J33</f>
        <v>9.167938931297718</v>
      </c>
      <c r="M31" s="324"/>
      <c r="P31" s="290"/>
      <c r="Q31" s="290"/>
      <c r="R31" s="290"/>
      <c r="S31" s="290"/>
      <c r="T31" s="290"/>
      <c r="U31" s="329"/>
      <c r="V31" s="9"/>
      <c r="W31" s="84"/>
      <c r="X31" s="9"/>
      <c r="Y31" s="84"/>
      <c r="Z31" s="84"/>
      <c r="AA31" s="176">
        <f>Y30/Y33</f>
        <v>2.073326606121762</v>
      </c>
      <c r="AB31" s="335"/>
      <c r="AC31" s="290"/>
      <c r="AD31" s="290"/>
    </row>
    <row r="32" spans="6:30" ht="12.75">
      <c r="F32" s="319"/>
      <c r="G32" s="178" t="s">
        <v>245</v>
      </c>
      <c r="H32" s="304" t="s">
        <v>246</v>
      </c>
      <c r="I32" s="178" t="s">
        <v>239</v>
      </c>
      <c r="J32" s="304" t="s">
        <v>248</v>
      </c>
      <c r="K32" s="306"/>
      <c r="L32" s="306"/>
      <c r="M32" s="324"/>
      <c r="P32" s="290"/>
      <c r="Q32" s="290"/>
      <c r="R32" s="290"/>
      <c r="S32" s="290"/>
      <c r="T32" s="290"/>
      <c r="U32" s="329"/>
      <c r="V32" s="84"/>
      <c r="W32" s="84" t="s">
        <v>246</v>
      </c>
      <c r="X32" s="9" t="s">
        <v>239</v>
      </c>
      <c r="Y32" s="84" t="s">
        <v>248</v>
      </c>
      <c r="Z32" s="84"/>
      <c r="AA32" s="84"/>
      <c r="AB32" s="335"/>
      <c r="AC32" s="290"/>
      <c r="AD32" s="290"/>
    </row>
    <row r="33" spans="6:30" ht="12.75">
      <c r="F33" s="319"/>
      <c r="G33" s="306"/>
      <c r="H33" s="176">
        <f>H20</f>
        <v>104.79999999999994</v>
      </c>
      <c r="I33" s="10">
        <f>H4-H3</f>
        <v>12</v>
      </c>
      <c r="J33" s="176">
        <f>H33/I33</f>
        <v>8.733333333333329</v>
      </c>
      <c r="K33" s="304"/>
      <c r="L33" s="304"/>
      <c r="M33" s="323"/>
      <c r="P33" s="290"/>
      <c r="Q33" s="290"/>
      <c r="R33" s="290"/>
      <c r="S33" s="290"/>
      <c r="T33" s="290"/>
      <c r="U33" s="329"/>
      <c r="V33" s="9" t="s">
        <v>245</v>
      </c>
      <c r="W33" s="278">
        <f>W23</f>
        <v>792.8000000000001</v>
      </c>
      <c r="X33" s="10">
        <f>W4-W3</f>
        <v>16</v>
      </c>
      <c r="Y33" s="278">
        <f>W33/X33</f>
        <v>49.550000000000004</v>
      </c>
      <c r="Z33" s="84"/>
      <c r="AA33" s="84"/>
      <c r="AB33" s="335"/>
      <c r="AC33" s="290"/>
      <c r="AD33" s="290"/>
    </row>
    <row r="34" spans="6:30" ht="13.5" thickBot="1">
      <c r="F34" s="325"/>
      <c r="G34" s="169"/>
      <c r="H34" s="169"/>
      <c r="I34" s="169"/>
      <c r="J34" s="169"/>
      <c r="K34" s="169"/>
      <c r="L34" s="169"/>
      <c r="M34" s="326"/>
      <c r="P34" s="290"/>
      <c r="Q34" s="290"/>
      <c r="R34" s="290"/>
      <c r="S34" s="290"/>
      <c r="T34" s="290"/>
      <c r="U34" s="330"/>
      <c r="V34" s="331"/>
      <c r="W34" s="331"/>
      <c r="X34" s="331"/>
      <c r="Y34" s="331"/>
      <c r="Z34" s="331"/>
      <c r="AA34" s="331"/>
      <c r="AB34" s="337"/>
      <c r="AC34" s="290"/>
      <c r="AD34" s="290"/>
    </row>
    <row r="35" s="346" customFormat="1" ht="12.75">
      <c r="A35" s="345"/>
    </row>
    <row r="36" spans="3:36" ht="12.75">
      <c r="C36" s="1" t="s">
        <v>299</v>
      </c>
      <c r="P36" s="77"/>
      <c r="Q36" s="77"/>
      <c r="R36" s="1" t="s">
        <v>292</v>
      </c>
      <c r="S36" s="77"/>
      <c r="T36" s="77"/>
      <c r="U36" s="77"/>
      <c r="V36" s="77"/>
      <c r="W36" s="77"/>
      <c r="X36" s="77"/>
      <c r="Y36" s="291" t="s">
        <v>293</v>
      </c>
      <c r="Z36" s="343">
        <f>X30*AB24</f>
        <v>9.716614567083273</v>
      </c>
      <c r="AA36" s="77"/>
      <c r="AB36" s="77"/>
      <c r="AC36" s="77"/>
      <c r="AD36" s="77"/>
      <c r="AE36" s="77"/>
      <c r="AF36" s="77"/>
      <c r="AG36" s="77"/>
      <c r="AH36" s="77"/>
      <c r="AI36" s="77"/>
      <c r="AJ36" s="77"/>
    </row>
    <row r="37" spans="16:36" ht="12.75">
      <c r="P37" s="77"/>
      <c r="Q37" s="77"/>
      <c r="R37" s="77"/>
      <c r="S37" s="77"/>
      <c r="T37" s="342" t="s">
        <v>294</v>
      </c>
      <c r="V37" s="342" t="s">
        <v>295</v>
      </c>
      <c r="X37" s="342" t="s">
        <v>298</v>
      </c>
      <c r="Y37" s="342" t="s">
        <v>296</v>
      </c>
      <c r="Z37" s="342" t="s">
        <v>297</v>
      </c>
      <c r="AA37" s="77"/>
      <c r="AB37" s="77"/>
      <c r="AC37" s="77"/>
      <c r="AD37" s="77"/>
      <c r="AE37" s="77"/>
      <c r="AF37" s="77"/>
      <c r="AG37" s="77"/>
      <c r="AH37" s="77"/>
      <c r="AI37" s="77"/>
      <c r="AJ37" s="77"/>
    </row>
    <row r="38" spans="7:36" ht="12.75">
      <c r="G38" s="296" t="s">
        <v>293</v>
      </c>
      <c r="H38" s="176">
        <f>I30*M24</f>
        <v>7.770587669406767</v>
      </c>
      <c r="P38" s="77"/>
      <c r="Q38" s="77"/>
      <c r="R38" s="82" t="s">
        <v>231</v>
      </c>
      <c r="S38" s="82" t="s">
        <v>232</v>
      </c>
      <c r="T38" s="176">
        <f>Q15-R15</f>
        <v>2.5999999999999996</v>
      </c>
      <c r="V38" s="176">
        <f aca="true" t="shared" si="0" ref="V38:V43">T38*T38</f>
        <v>6.759999999999998</v>
      </c>
      <c r="X38" s="310">
        <f>Y33</f>
        <v>49.550000000000004</v>
      </c>
      <c r="Y38" s="176">
        <f>1/Q14+1/R14</f>
        <v>0.4</v>
      </c>
      <c r="Z38" s="176">
        <f aca="true" t="shared" si="1" ref="Z38:Z43">V38/X38/Y38</f>
        <v>0.34106962663975765</v>
      </c>
      <c r="AA38" s="77"/>
      <c r="AB38" s="77"/>
      <c r="AC38" s="77"/>
      <c r="AD38" s="77"/>
      <c r="AE38" s="77"/>
      <c r="AF38" s="77"/>
      <c r="AG38" s="77"/>
      <c r="AH38" s="77"/>
      <c r="AI38" s="77"/>
      <c r="AJ38" s="77"/>
    </row>
    <row r="39" spans="16:36" ht="12.75">
      <c r="P39" s="77"/>
      <c r="Q39" s="77"/>
      <c r="R39" s="82" t="s">
        <v>231</v>
      </c>
      <c r="S39" s="82" t="s">
        <v>233</v>
      </c>
      <c r="T39" s="176">
        <f>Q15-S15</f>
        <v>8.399999999999999</v>
      </c>
      <c r="V39" s="176">
        <f t="shared" si="0"/>
        <v>70.55999999999997</v>
      </c>
      <c r="X39" s="310">
        <f>Y33</f>
        <v>49.550000000000004</v>
      </c>
      <c r="Y39" s="176">
        <f>1/Q14+1/S14</f>
        <v>0.4</v>
      </c>
      <c r="Z39" s="176">
        <f t="shared" si="1"/>
        <v>3.5600403632694233</v>
      </c>
      <c r="AA39" s="77"/>
      <c r="AB39" s="77"/>
      <c r="AC39" s="77"/>
      <c r="AD39" s="77"/>
      <c r="AE39" s="77"/>
      <c r="AF39" s="77"/>
      <c r="AG39" s="77"/>
      <c r="AH39" s="77"/>
      <c r="AI39" s="77"/>
      <c r="AJ39" s="77"/>
    </row>
    <row r="40" spans="16:36" ht="12.75">
      <c r="P40" s="77"/>
      <c r="Q40" s="77"/>
      <c r="R40" s="82" t="s">
        <v>231</v>
      </c>
      <c r="S40" s="82" t="s">
        <v>234</v>
      </c>
      <c r="T40" s="311">
        <f>Q15-T15</f>
        <v>9.399999999999999</v>
      </c>
      <c r="V40" s="176">
        <f t="shared" si="0"/>
        <v>88.35999999999997</v>
      </c>
      <c r="X40" s="310">
        <f>Y33</f>
        <v>49.550000000000004</v>
      </c>
      <c r="Y40" s="176">
        <f>1/Q14+1/T14</f>
        <v>0.4</v>
      </c>
      <c r="Z40" s="176">
        <f t="shared" si="1"/>
        <v>4.458123107971743</v>
      </c>
      <c r="AA40" s="77"/>
      <c r="AB40" s="77"/>
      <c r="AC40" s="77"/>
      <c r="AD40" s="77"/>
      <c r="AE40" s="77"/>
      <c r="AF40" s="77"/>
      <c r="AG40" s="77"/>
      <c r="AH40" s="77"/>
      <c r="AI40" s="77"/>
      <c r="AJ40" s="77"/>
    </row>
    <row r="41" spans="18:30" ht="12.75">
      <c r="R41" s="82" t="s">
        <v>232</v>
      </c>
      <c r="S41" s="82" t="s">
        <v>233</v>
      </c>
      <c r="T41" s="176">
        <f>R15-S15</f>
        <v>5.8</v>
      </c>
      <c r="V41" s="176">
        <f t="shared" si="0"/>
        <v>33.64</v>
      </c>
      <c r="X41" s="310">
        <f>Y33</f>
        <v>49.550000000000004</v>
      </c>
      <c r="Y41" s="176">
        <f>1/R14+1/S14</f>
        <v>0.4</v>
      </c>
      <c r="Z41" s="176">
        <f t="shared" si="1"/>
        <v>1.697275479313824</v>
      </c>
      <c r="AA41" s="77"/>
      <c r="AB41" s="77"/>
      <c r="AC41" s="77"/>
      <c r="AD41" s="290"/>
    </row>
    <row r="42" spans="18:29" ht="12.75">
      <c r="R42" s="82" t="s">
        <v>232</v>
      </c>
      <c r="S42" s="82" t="s">
        <v>234</v>
      </c>
      <c r="T42" s="311">
        <f>R15-T15</f>
        <v>6.8</v>
      </c>
      <c r="V42" s="176">
        <f t="shared" si="0"/>
        <v>46.239999999999995</v>
      </c>
      <c r="X42" s="310">
        <f>Y33</f>
        <v>49.550000000000004</v>
      </c>
      <c r="Y42" s="176">
        <f>1/R14+1/T14</f>
        <v>0.4</v>
      </c>
      <c r="Z42" s="176">
        <f t="shared" si="1"/>
        <v>2.332996972754793</v>
      </c>
      <c r="AA42" s="77"/>
      <c r="AB42" s="77"/>
      <c r="AC42" s="77"/>
    </row>
    <row r="43" spans="7:29" ht="12.75">
      <c r="G43" s="342" t="s">
        <v>294</v>
      </c>
      <c r="H43" s="342" t="s">
        <v>295</v>
      </c>
      <c r="I43" s="342" t="s">
        <v>298</v>
      </c>
      <c r="J43" s="342" t="s">
        <v>296</v>
      </c>
      <c r="K43" s="342" t="s">
        <v>297</v>
      </c>
      <c r="L43" s="342"/>
      <c r="M43" s="342"/>
      <c r="N43" s="342"/>
      <c r="R43" s="82" t="s">
        <v>233</v>
      </c>
      <c r="S43" s="82" t="s">
        <v>234</v>
      </c>
      <c r="T43" s="311">
        <f>S15-T15</f>
        <v>1</v>
      </c>
      <c r="V43" s="176">
        <f t="shared" si="0"/>
        <v>1</v>
      </c>
      <c r="X43" s="310">
        <f>Y33</f>
        <v>49.550000000000004</v>
      </c>
      <c r="Y43" s="176">
        <f>1/S14+1/T14</f>
        <v>0.4</v>
      </c>
      <c r="Z43" s="176">
        <f t="shared" si="1"/>
        <v>0.05045408678102926</v>
      </c>
      <c r="AA43" s="77"/>
      <c r="AB43" s="77"/>
      <c r="AC43" s="77"/>
    </row>
    <row r="44" spans="4:11" ht="12.75">
      <c r="D44" s="82" t="s">
        <v>231</v>
      </c>
      <c r="E44" s="82" t="s">
        <v>232</v>
      </c>
      <c r="G44" s="176">
        <f>C12-D12</f>
        <v>8</v>
      </c>
      <c r="H44" s="10">
        <f>G44*G44</f>
        <v>64</v>
      </c>
      <c r="I44" s="10">
        <f>J33</f>
        <v>8.733333333333329</v>
      </c>
      <c r="J44" s="10">
        <f>1/C11+1/D11</f>
        <v>0.4</v>
      </c>
      <c r="K44" s="263">
        <f>H44/I44/J44</f>
        <v>18.320610687022906</v>
      </c>
    </row>
    <row r="45" spans="8:11" ht="12.75">
      <c r="H45" s="174"/>
      <c r="I45" s="174"/>
      <c r="J45" s="174"/>
      <c r="K45" s="347"/>
    </row>
    <row r="46" spans="4:11" ht="12.75">
      <c r="D46" s="82" t="s">
        <v>231</v>
      </c>
      <c r="E46" s="82" t="s">
        <v>233</v>
      </c>
      <c r="G46" s="176">
        <f>C12-E12</f>
        <v>4.200000000000001</v>
      </c>
      <c r="H46" s="10">
        <f>G46*G46</f>
        <v>17.640000000000008</v>
      </c>
      <c r="I46" s="10">
        <f>J33</f>
        <v>8.733333333333329</v>
      </c>
      <c r="J46" s="10">
        <f>1/C11+1/E11</f>
        <v>0.4</v>
      </c>
      <c r="K46" s="263">
        <f>H46/I46/J46</f>
        <v>5.0496183206106915</v>
      </c>
    </row>
    <row r="47" spans="8:11" ht="12.75">
      <c r="H47" s="174"/>
      <c r="I47" s="174"/>
      <c r="J47" s="174"/>
      <c r="K47" s="347"/>
    </row>
    <row r="48" spans="4:11" ht="12.75">
      <c r="D48" s="82" t="s">
        <v>232</v>
      </c>
      <c r="E48" s="82" t="s">
        <v>233</v>
      </c>
      <c r="G48" s="176">
        <f>D12-E12</f>
        <v>-3.8</v>
      </c>
      <c r="H48" s="10">
        <f>G48*G48</f>
        <v>14.44</v>
      </c>
      <c r="I48" s="10">
        <f>J33</f>
        <v>8.733333333333329</v>
      </c>
      <c r="J48" s="10">
        <f>1/D11+1/E11</f>
        <v>0.4</v>
      </c>
      <c r="K48" s="263">
        <f>H48/I48/J48</f>
        <v>4.133587786259543</v>
      </c>
    </row>
    <row r="49" spans="8:11" ht="12.75">
      <c r="H49" s="174"/>
      <c r="I49" s="174"/>
      <c r="J49" s="174"/>
      <c r="K49" s="347"/>
    </row>
    <row r="50" spans="8:11" s="346" customFormat="1" ht="12.75">
      <c r="H50" s="350"/>
      <c r="I50" s="350"/>
      <c r="J50" s="350"/>
      <c r="K50" s="348"/>
    </row>
    <row r="51" spans="3:24" ht="12.75">
      <c r="C51" s="1" t="s">
        <v>300</v>
      </c>
      <c r="H51" s="174"/>
      <c r="I51" s="174"/>
      <c r="J51" s="174"/>
      <c r="K51" s="347"/>
      <c r="P51" s="1" t="s">
        <v>300</v>
      </c>
      <c r="U51" s="174"/>
      <c r="V51" s="174"/>
      <c r="W51" s="174"/>
      <c r="X51" s="347"/>
    </row>
    <row r="52" ht="12.75"/>
    <row r="53" spans="7:22" ht="12.75">
      <c r="G53" s="296" t="s">
        <v>302</v>
      </c>
      <c r="H53" s="307"/>
      <c r="S53" s="296" t="s">
        <v>302</v>
      </c>
      <c r="T53" s="307"/>
      <c r="V53" s="1" t="s">
        <v>305</v>
      </c>
    </row>
    <row r="54" spans="7:19" ht="12.75">
      <c r="G54" s="1" t="s">
        <v>303</v>
      </c>
      <c r="S54" s="1" t="s">
        <v>303</v>
      </c>
    </row>
    <row r="55" spans="7:25" ht="12.75">
      <c r="G55" s="1" t="s">
        <v>305</v>
      </c>
      <c r="H55" s="174"/>
      <c r="I55" s="174"/>
      <c r="J55" s="174"/>
      <c r="K55" s="347"/>
      <c r="T55" s="342" t="s">
        <v>294</v>
      </c>
      <c r="V55" s="351" t="s">
        <v>298</v>
      </c>
      <c r="W55" s="351" t="s">
        <v>29</v>
      </c>
      <c r="X55" s="351" t="s">
        <v>301</v>
      </c>
      <c r="Y55" s="349" t="s">
        <v>304</v>
      </c>
    </row>
    <row r="56" spans="7:25" ht="12.75">
      <c r="G56" s="342" t="s">
        <v>294</v>
      </c>
      <c r="H56" s="351" t="s">
        <v>298</v>
      </c>
      <c r="I56" s="351" t="s">
        <v>29</v>
      </c>
      <c r="J56" s="351" t="s">
        <v>301</v>
      </c>
      <c r="K56" s="349" t="s">
        <v>304</v>
      </c>
      <c r="Q56" s="82" t="s">
        <v>231</v>
      </c>
      <c r="R56" s="82" t="s">
        <v>232</v>
      </c>
      <c r="T56" s="176">
        <f aca="true" t="shared" si="2" ref="T56:T61">T38</f>
        <v>2.5999999999999996</v>
      </c>
      <c r="V56" s="278">
        <f>X38</f>
        <v>49.550000000000004</v>
      </c>
      <c r="W56" s="10">
        <f>W4/W3</f>
        <v>5</v>
      </c>
      <c r="X56" s="352">
        <f aca="true" t="shared" si="3" ref="X56:X61">SQRT(V56/W56)</f>
        <v>3.1480152477394387</v>
      </c>
      <c r="Y56" s="263">
        <f aca="true" t="shared" si="4" ref="Y56:Y61">T56/X56</f>
        <v>0.8259172193867346</v>
      </c>
    </row>
    <row r="57" spans="4:25" ht="12.75">
      <c r="D57" s="82" t="s">
        <v>231</v>
      </c>
      <c r="E57" s="82" t="s">
        <v>232</v>
      </c>
      <c r="G57" s="176">
        <f>G44</f>
        <v>8</v>
      </c>
      <c r="H57" s="10">
        <f>J33</f>
        <v>8.733333333333329</v>
      </c>
      <c r="I57" s="10">
        <f>H4/H3</f>
        <v>5</v>
      </c>
      <c r="J57" s="352">
        <f>SQRT(H57/I57)</f>
        <v>1.3216151734399335</v>
      </c>
      <c r="K57" s="263">
        <f>G57/J57</f>
        <v>6.053199267663821</v>
      </c>
      <c r="Q57" s="82" t="s">
        <v>231</v>
      </c>
      <c r="R57" s="82" t="s">
        <v>233</v>
      </c>
      <c r="T57" s="176">
        <f t="shared" si="2"/>
        <v>8.399999999999999</v>
      </c>
      <c r="V57" s="278">
        <f aca="true" t="shared" si="5" ref="V57:W61">V56</f>
        <v>49.550000000000004</v>
      </c>
      <c r="W57" s="10">
        <f t="shared" si="5"/>
        <v>5</v>
      </c>
      <c r="X57" s="352">
        <f t="shared" si="3"/>
        <v>3.1480152477394387</v>
      </c>
      <c r="Y57" s="263">
        <f t="shared" si="4"/>
        <v>2.6683479395571426</v>
      </c>
    </row>
    <row r="58" spans="8:25" ht="12.75">
      <c r="H58" s="174"/>
      <c r="I58" s="174"/>
      <c r="J58" s="174"/>
      <c r="K58" s="347"/>
      <c r="Q58" s="82" t="s">
        <v>231</v>
      </c>
      <c r="R58" s="82" t="s">
        <v>234</v>
      </c>
      <c r="T58" s="311">
        <f t="shared" si="2"/>
        <v>9.399999999999999</v>
      </c>
      <c r="V58" s="278">
        <f t="shared" si="5"/>
        <v>49.550000000000004</v>
      </c>
      <c r="W58" s="10">
        <f t="shared" si="5"/>
        <v>5</v>
      </c>
      <c r="X58" s="352">
        <f t="shared" si="3"/>
        <v>3.1480152477394387</v>
      </c>
      <c r="Y58" s="263">
        <f t="shared" si="4"/>
        <v>2.98600840855204</v>
      </c>
    </row>
    <row r="59" spans="4:25" ht="12.75">
      <c r="D59" s="82" t="s">
        <v>231</v>
      </c>
      <c r="E59" s="82" t="s">
        <v>233</v>
      </c>
      <c r="G59" s="176">
        <f>G46</f>
        <v>4.200000000000001</v>
      </c>
      <c r="H59" s="10">
        <f>J33</f>
        <v>8.733333333333329</v>
      </c>
      <c r="I59" s="10">
        <f>I57</f>
        <v>5</v>
      </c>
      <c r="J59" s="352">
        <f>SQRT(H59/I59)</f>
        <v>1.3216151734399335</v>
      </c>
      <c r="K59" s="263">
        <f>G59/J59</f>
        <v>3.177929615523507</v>
      </c>
      <c r="Q59" s="82" t="s">
        <v>232</v>
      </c>
      <c r="R59" s="82" t="s">
        <v>233</v>
      </c>
      <c r="T59" s="176">
        <f t="shared" si="2"/>
        <v>5.8</v>
      </c>
      <c r="V59" s="278">
        <f t="shared" si="5"/>
        <v>49.550000000000004</v>
      </c>
      <c r="W59" s="10">
        <f t="shared" si="5"/>
        <v>5</v>
      </c>
      <c r="X59" s="352">
        <f t="shared" si="3"/>
        <v>3.1480152477394387</v>
      </c>
      <c r="Y59" s="263">
        <f t="shared" si="4"/>
        <v>1.8424307201704082</v>
      </c>
    </row>
    <row r="60" spans="8:25" ht="12.75">
      <c r="H60" s="174"/>
      <c r="I60" s="174"/>
      <c r="J60" s="174"/>
      <c r="K60" s="347"/>
      <c r="Q60" s="82" t="s">
        <v>232</v>
      </c>
      <c r="R60" s="82" t="s">
        <v>234</v>
      </c>
      <c r="T60" s="311">
        <f t="shared" si="2"/>
        <v>6.8</v>
      </c>
      <c r="V60" s="278">
        <f t="shared" si="5"/>
        <v>49.550000000000004</v>
      </c>
      <c r="W60" s="10">
        <f t="shared" si="5"/>
        <v>5</v>
      </c>
      <c r="X60" s="352">
        <f t="shared" si="3"/>
        <v>3.1480152477394387</v>
      </c>
      <c r="Y60" s="263">
        <f t="shared" si="4"/>
        <v>2.160091189165306</v>
      </c>
    </row>
    <row r="61" spans="4:25" ht="12.75">
      <c r="D61" s="82" t="s">
        <v>232</v>
      </c>
      <c r="E61" s="82" t="s">
        <v>233</v>
      </c>
      <c r="G61" s="176">
        <f>G48</f>
        <v>-3.8</v>
      </c>
      <c r="H61" s="10">
        <f>J33</f>
        <v>8.733333333333329</v>
      </c>
      <c r="I61" s="10">
        <f>I59</f>
        <v>5</v>
      </c>
      <c r="J61" s="352">
        <f>SQRT(H61/I61)</f>
        <v>1.3216151734399335</v>
      </c>
      <c r="K61" s="263">
        <f>G61/J61</f>
        <v>-2.875269652140315</v>
      </c>
      <c r="Q61" s="82" t="s">
        <v>233</v>
      </c>
      <c r="R61" s="82" t="s">
        <v>234</v>
      </c>
      <c r="T61" s="311">
        <f t="shared" si="2"/>
        <v>1</v>
      </c>
      <c r="V61" s="278">
        <f t="shared" si="5"/>
        <v>49.550000000000004</v>
      </c>
      <c r="W61" s="10">
        <f t="shared" si="5"/>
        <v>5</v>
      </c>
      <c r="X61" s="352">
        <f t="shared" si="3"/>
        <v>3.1480152477394387</v>
      </c>
      <c r="Y61" s="263">
        <f t="shared" si="4"/>
        <v>0.31766046899489797</v>
      </c>
    </row>
    <row r="62" spans="8:11" s="346" customFormat="1" ht="12.75">
      <c r="H62" s="350"/>
      <c r="I62" s="350"/>
      <c r="J62" s="350"/>
      <c r="K62" s="348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B64"/>
  <sheetViews>
    <sheetView zoomScale="84" zoomScaleNormal="84" zoomScalePageLayoutView="0" workbookViewId="0" topLeftCell="A1">
      <selection activeCell="S3" sqref="S3"/>
    </sheetView>
  </sheetViews>
  <sheetFormatPr defaultColWidth="9.140625" defaultRowHeight="12.75"/>
  <cols>
    <col min="1" max="1" width="6.8515625" style="1" customWidth="1"/>
    <col min="2" max="2" width="5.7109375" style="1" customWidth="1"/>
    <col min="3" max="3" width="10.140625" style="1" customWidth="1"/>
    <col min="4" max="4" width="7.57421875" style="1" customWidth="1"/>
    <col min="5" max="5" width="7.140625" style="1" customWidth="1"/>
    <col min="6" max="6" width="6.7109375" style="1" customWidth="1"/>
    <col min="7" max="7" width="6.28125" style="1" customWidth="1"/>
    <col min="8" max="8" width="15.28125" style="77" customWidth="1"/>
    <col min="9" max="9" width="20.00390625" style="77" customWidth="1"/>
    <col min="10" max="10" width="9.57421875" style="77" customWidth="1"/>
    <col min="11" max="11" width="1.1484375" style="77" customWidth="1"/>
    <col min="12" max="12" width="9.57421875" style="77" customWidth="1"/>
    <col min="13" max="13" width="25.421875" style="77" customWidth="1"/>
    <col min="14" max="14" width="2.28125" style="355" customWidth="1"/>
    <col min="15" max="15" width="5.57421875" style="353" customWidth="1"/>
    <col min="16" max="16" width="8.7109375" style="77" customWidth="1"/>
    <col min="17" max="17" width="8.421875" style="77" customWidth="1"/>
    <col min="18" max="18" width="11.8515625" style="77" customWidth="1"/>
    <col min="19" max="19" width="7.57421875" style="77" customWidth="1"/>
    <col min="20" max="20" width="7.57421875" style="392" customWidth="1"/>
    <col min="21" max="21" width="9.28125" style="77" customWidth="1"/>
    <col min="22" max="22" width="5.28125" style="77" customWidth="1"/>
    <col min="23" max="23" width="9.00390625" style="77" customWidth="1"/>
    <col min="24" max="24" width="18.57421875" style="392" customWidth="1"/>
    <col min="25" max="25" width="15.7109375" style="353" customWidth="1"/>
    <col min="26" max="26" width="8.7109375" style="77" customWidth="1"/>
    <col min="27" max="27" width="1.1484375" style="77" customWidth="1"/>
    <col min="28" max="28" width="9.57421875" style="77" customWidth="1"/>
    <col min="29" max="32" width="6.7109375" style="353" customWidth="1"/>
    <col min="33" max="33" width="1.7109375" style="355" customWidth="1"/>
    <col min="34" max="39" width="6.7109375" style="77" customWidth="1"/>
    <col min="40" max="40" width="9.7109375" style="77" customWidth="1"/>
    <col min="41" max="41" width="2.28125" style="355" customWidth="1"/>
    <col min="42" max="42" width="3.57421875" style="1" customWidth="1"/>
    <col min="43" max="43" width="7.8515625" style="1" customWidth="1"/>
    <col min="44" max="44" width="7.57421875" style="1" customWidth="1"/>
    <col min="45" max="45" width="9.140625" style="1" customWidth="1"/>
    <col min="46" max="46" width="7.140625" style="1" customWidth="1"/>
    <col min="47" max="47" width="7.57421875" style="1" customWidth="1"/>
    <col min="48" max="48" width="6.7109375" style="1" customWidth="1"/>
    <col min="49" max="49" width="7.00390625" style="1" customWidth="1"/>
    <col min="50" max="50" width="6.421875" style="1" customWidth="1"/>
    <col min="51" max="51" width="7.28125" style="1" customWidth="1"/>
    <col min="52" max="52" width="7.00390625" style="1" customWidth="1"/>
    <col min="53" max="53" width="7.140625" style="1" customWidth="1"/>
    <col min="54" max="54" width="5.00390625" style="1" customWidth="1"/>
    <col min="55" max="55" width="7.00390625" style="1" customWidth="1"/>
    <col min="56" max="56" width="7.140625" style="1" customWidth="1"/>
    <col min="57" max="57" width="7.00390625" style="1" customWidth="1"/>
    <col min="58" max="58" width="6.7109375" style="1" customWidth="1"/>
    <col min="59" max="60" width="6.421875" style="1" customWidth="1"/>
    <col min="61" max="61" width="8.57421875" style="1" customWidth="1"/>
    <col min="62" max="69" width="6.421875" style="1" customWidth="1"/>
    <col min="70" max="73" width="9.140625" style="1" customWidth="1"/>
    <col min="74" max="74" width="2.8515625" style="1" customWidth="1"/>
    <col min="75" max="16384" width="9.140625" style="1" customWidth="1"/>
  </cols>
  <sheetData>
    <row r="1" spans="1:80" s="353" customFormat="1" ht="16.5" thickBot="1">
      <c r="A1" s="353" t="s">
        <v>313</v>
      </c>
      <c r="C1" s="353" t="s">
        <v>323</v>
      </c>
      <c r="G1" s="415"/>
      <c r="H1" s="415"/>
      <c r="I1" s="411"/>
      <c r="J1" s="417" t="s">
        <v>310</v>
      </c>
      <c r="K1" s="418"/>
      <c r="L1" s="417" t="s">
        <v>308</v>
      </c>
      <c r="M1" s="411"/>
      <c r="N1" s="385"/>
      <c r="O1" s="411"/>
      <c r="P1" s="416" t="s">
        <v>314</v>
      </c>
      <c r="Q1" s="411"/>
      <c r="T1" s="392"/>
      <c r="U1" s="411"/>
      <c r="V1" s="77"/>
      <c r="W1" s="77"/>
      <c r="X1" s="392"/>
      <c r="Y1" s="411"/>
      <c r="Z1" s="417" t="s">
        <v>310</v>
      </c>
      <c r="AA1" s="418"/>
      <c r="AB1" s="417" t="s">
        <v>308</v>
      </c>
      <c r="AC1" s="411"/>
      <c r="AD1" s="411"/>
      <c r="AE1" s="411"/>
      <c r="AF1" s="411"/>
      <c r="AG1" s="356"/>
      <c r="AJ1" s="411"/>
      <c r="AK1" s="411"/>
      <c r="AL1" s="411"/>
      <c r="AM1" s="411"/>
      <c r="AN1" s="417" t="s">
        <v>310</v>
      </c>
      <c r="AO1" s="419"/>
      <c r="AQ1" s="392" t="s">
        <v>377</v>
      </c>
      <c r="AU1" s="411"/>
      <c r="AW1" s="392" t="s">
        <v>378</v>
      </c>
      <c r="BC1" s="392" t="s">
        <v>375</v>
      </c>
      <c r="BH1" s="392"/>
      <c r="BI1" s="392"/>
      <c r="BJ1" s="392" t="s">
        <v>379</v>
      </c>
      <c r="BK1" s="392"/>
      <c r="BL1" s="392"/>
      <c r="BM1" s="392"/>
      <c r="BN1" s="392"/>
      <c r="BO1" s="392"/>
      <c r="BP1" s="392"/>
      <c r="BQ1" s="392"/>
      <c r="BR1" s="77"/>
      <c r="BS1" s="422"/>
      <c r="BT1" s="411"/>
      <c r="BU1" s="417" t="s">
        <v>310</v>
      </c>
      <c r="BV1" s="418"/>
      <c r="BW1" s="417" t="s">
        <v>308</v>
      </c>
      <c r="BX1" s="411"/>
      <c r="BY1" s="411"/>
      <c r="BZ1" s="411"/>
      <c r="CA1" s="411"/>
      <c r="CB1" s="356"/>
    </row>
    <row r="2" spans="2:80" ht="16.5" thickBot="1">
      <c r="B2" s="1">
        <v>10</v>
      </c>
      <c r="C2" s="379">
        <v>2</v>
      </c>
      <c r="D2" s="379">
        <v>6</v>
      </c>
      <c r="E2" s="379">
        <v>5</v>
      </c>
      <c r="F2" s="379">
        <v>20</v>
      </c>
      <c r="G2" s="379">
        <v>17</v>
      </c>
      <c r="H2" s="308"/>
      <c r="I2" s="305" t="s">
        <v>332</v>
      </c>
      <c r="J2" s="308" t="s">
        <v>334</v>
      </c>
      <c r="K2" s="398"/>
      <c r="L2" s="396" t="s">
        <v>335</v>
      </c>
      <c r="M2" s="308"/>
      <c r="N2" s="385"/>
      <c r="P2" s="308" t="s">
        <v>326</v>
      </c>
      <c r="Q2" s="308" t="s">
        <v>327</v>
      </c>
      <c r="R2" s="354" t="s">
        <v>331</v>
      </c>
      <c r="S2" s="308" t="s">
        <v>306</v>
      </c>
      <c r="T2" s="9"/>
      <c r="U2" s="308" t="s">
        <v>350</v>
      </c>
      <c r="V2" s="308"/>
      <c r="W2" s="308"/>
      <c r="Y2" s="170" t="s">
        <v>332</v>
      </c>
      <c r="Z2" s="308" t="s">
        <v>334</v>
      </c>
      <c r="AA2" s="398"/>
      <c r="AB2" s="396" t="s">
        <v>335</v>
      </c>
      <c r="AC2" s="9"/>
      <c r="AD2" s="9"/>
      <c r="AE2" s="9"/>
      <c r="AF2" s="9"/>
      <c r="AG2" s="385"/>
      <c r="AJ2" s="308"/>
      <c r="AK2" s="308"/>
      <c r="AL2" s="308"/>
      <c r="AM2" s="170" t="s">
        <v>332</v>
      </c>
      <c r="AN2" s="308" t="s">
        <v>334</v>
      </c>
      <c r="AO2" s="385"/>
      <c r="AP2" s="1">
        <v>1</v>
      </c>
      <c r="AQ2" s="292">
        <f aca="true" ca="1" t="shared" si="0" ref="AQ2:AQ21">RANDBETWEEN(15,45)</f>
        <v>21</v>
      </c>
      <c r="AR2" s="292">
        <f aca="true" ca="1" t="shared" si="1" ref="AR2:AU21">RANDBETWEEN(15,45)</f>
        <v>35</v>
      </c>
      <c r="AS2" s="292">
        <f ca="1" t="shared" si="1"/>
        <v>24</v>
      </c>
      <c r="AT2" s="292">
        <f ca="1" t="shared" si="1"/>
        <v>44</v>
      </c>
      <c r="AU2" s="292">
        <f ca="1" t="shared" si="1"/>
        <v>28</v>
      </c>
      <c r="AV2" s="1">
        <v>1</v>
      </c>
      <c r="AW2" s="10">
        <f aca="true" t="shared" si="2" ref="AW2:AW21">AQ2-median100</f>
        <v>1</v>
      </c>
      <c r="AX2" s="10">
        <f aca="true" t="shared" si="3" ref="AX2:AX21">AR2-median100</f>
        <v>15</v>
      </c>
      <c r="AY2" s="10">
        <f aca="true" t="shared" si="4" ref="AY2:AY21">AS2-median100</f>
        <v>4</v>
      </c>
      <c r="AZ2" s="10">
        <f aca="true" t="shared" si="5" ref="AZ2:AZ21">AT2-median100</f>
        <v>24</v>
      </c>
      <c r="BA2" s="10">
        <f aca="true" t="shared" si="6" ref="BA2:BA21">AU2-median100</f>
        <v>8</v>
      </c>
      <c r="BB2" s="1">
        <v>1</v>
      </c>
      <c r="BC2" s="146">
        <f>IF(AW2&lt;0,-1,IF(AW2=0,0,IF(AW2&gt;0,1)))</f>
        <v>1</v>
      </c>
      <c r="BD2" s="146">
        <f aca="true" t="shared" si="7" ref="BD2:BD21">IF(AX2&lt;0,-1,IF(AX2=0,0,IF(AX2&gt;0,1)))</f>
        <v>1</v>
      </c>
      <c r="BE2" s="146">
        <f aca="true" t="shared" si="8" ref="BE2:BE21">IF(AY2&lt;0,-1,IF(AY2=0,0,IF(AY2&gt;0,1)))</f>
        <v>1</v>
      </c>
      <c r="BF2" s="146">
        <f aca="true" t="shared" si="9" ref="BF2:BF21">IF(AZ2&lt;0,-1,IF(AZ2=0,0,IF(AZ2&gt;0,1)))</f>
        <v>1</v>
      </c>
      <c r="BG2" s="146">
        <f aca="true" t="shared" si="10" ref="BG2:BG21">IF(BA2&lt;0,-1,IF(BA2=0,0,IF(BA2&gt;0,1)))</f>
        <v>1</v>
      </c>
      <c r="BH2" s="144"/>
      <c r="BI2" s="305" t="s">
        <v>353</v>
      </c>
      <c r="BJ2" s="146">
        <f>SMALL(AQ2:AU21,1)</f>
        <v>15</v>
      </c>
      <c r="BK2" s="146">
        <f>SMALL(AQ2:AU21,2)</f>
        <v>15</v>
      </c>
      <c r="BL2" s="146">
        <f>SMALL(AQ2:AU21,3)</f>
        <v>15</v>
      </c>
      <c r="BM2" s="146">
        <f>SMALL(AQ2:AU21,4)</f>
        <v>16</v>
      </c>
      <c r="BN2" s="146">
        <f>SMALL(AQ2:AU21,5)</f>
        <v>17</v>
      </c>
      <c r="BO2" s="144"/>
      <c r="BP2" s="144"/>
      <c r="BQ2" s="144"/>
      <c r="BR2" s="308"/>
      <c r="BS2" s="422"/>
      <c r="BT2" s="170" t="s">
        <v>332</v>
      </c>
      <c r="BU2" s="308" t="s">
        <v>334</v>
      </c>
      <c r="BV2" s="398"/>
      <c r="BW2" s="396" t="s">
        <v>335</v>
      </c>
      <c r="BX2" s="9"/>
      <c r="BY2" s="9"/>
      <c r="BZ2" s="9"/>
      <c r="CA2" s="9"/>
      <c r="CB2" s="385"/>
    </row>
    <row r="3" spans="2:80" ht="16.5" thickBot="1">
      <c r="B3" s="1">
        <v>9</v>
      </c>
      <c r="C3" s="379">
        <v>8</v>
      </c>
      <c r="D3" s="379">
        <v>2</v>
      </c>
      <c r="E3" s="379">
        <v>13</v>
      </c>
      <c r="F3" s="379">
        <v>1</v>
      </c>
      <c r="G3" s="379">
        <v>20</v>
      </c>
      <c r="H3" s="308"/>
      <c r="I3" s="383" t="s">
        <v>325</v>
      </c>
      <c r="J3" s="380">
        <f>J5+J6</f>
        <v>48</v>
      </c>
      <c r="K3" s="399"/>
      <c r="L3" s="380">
        <f>J3</f>
        <v>48</v>
      </c>
      <c r="M3" s="308"/>
      <c r="N3" s="385"/>
      <c r="O3" s="414">
        <v>1</v>
      </c>
      <c r="P3" s="379">
        <f aca="true" ca="1" t="shared" si="11" ref="P3:Q40">RANDBETWEEN(2,10)</f>
        <v>3</v>
      </c>
      <c r="Q3" s="379">
        <v>11</v>
      </c>
      <c r="R3" s="262">
        <f>Q3-P3</f>
        <v>8</v>
      </c>
      <c r="S3" s="10">
        <f>IF(R3&lt;0,-1,IF(R3=0,0,IF(R3&gt;0,1)))</f>
        <v>1</v>
      </c>
      <c r="T3" s="9"/>
      <c r="U3" s="10">
        <f>SMALL(R3:R40,1)</f>
        <v>-7</v>
      </c>
      <c r="V3" s="308"/>
      <c r="W3" s="308"/>
      <c r="Y3" s="173" t="s">
        <v>325</v>
      </c>
      <c r="Z3" s="380">
        <f>Z5+Z6</f>
        <v>33</v>
      </c>
      <c r="AA3" s="399"/>
      <c r="AB3" s="380">
        <f>Z3</f>
        <v>33</v>
      </c>
      <c r="AC3" s="9"/>
      <c r="AD3" s="9"/>
      <c r="AE3" s="9"/>
      <c r="AF3" s="9"/>
      <c r="AG3" s="385"/>
      <c r="AJ3" s="308"/>
      <c r="AK3" s="308"/>
      <c r="AL3" s="308"/>
      <c r="AM3" s="173" t="s">
        <v>325</v>
      </c>
      <c r="AN3" s="397">
        <v>28</v>
      </c>
      <c r="AO3" s="408"/>
      <c r="AP3" s="1">
        <v>2</v>
      </c>
      <c r="AQ3" s="292">
        <f ca="1" t="shared" si="0"/>
        <v>39</v>
      </c>
      <c r="AR3" s="292">
        <f ca="1" t="shared" si="1"/>
        <v>30</v>
      </c>
      <c r="AS3" s="292">
        <f ca="1" t="shared" si="1"/>
        <v>22</v>
      </c>
      <c r="AT3" s="292">
        <f ca="1" t="shared" si="1"/>
        <v>36</v>
      </c>
      <c r="AU3" s="292">
        <f ca="1" t="shared" si="1"/>
        <v>35</v>
      </c>
      <c r="AV3" s="1">
        <v>2</v>
      </c>
      <c r="AW3" s="10">
        <f t="shared" si="2"/>
        <v>19</v>
      </c>
      <c r="AX3" s="10">
        <f t="shared" si="3"/>
        <v>10</v>
      </c>
      <c r="AY3" s="10">
        <f t="shared" si="4"/>
        <v>2</v>
      </c>
      <c r="AZ3" s="10">
        <f t="shared" si="5"/>
        <v>16</v>
      </c>
      <c r="BA3" s="10">
        <f t="shared" si="6"/>
        <v>15</v>
      </c>
      <c r="BB3" s="1">
        <v>2</v>
      </c>
      <c r="BC3" s="146">
        <f aca="true" t="shared" si="12" ref="BC3:BC21">IF(AW3&lt;0,-1,IF(AW3=0,0,IF(AW3&gt;0,1)))</f>
        <v>1</v>
      </c>
      <c r="BD3" s="146">
        <f t="shared" si="7"/>
        <v>1</v>
      </c>
      <c r="BE3" s="146">
        <f t="shared" si="8"/>
        <v>1</v>
      </c>
      <c r="BF3" s="146">
        <f t="shared" si="9"/>
        <v>1</v>
      </c>
      <c r="BG3" s="146">
        <f t="shared" si="10"/>
        <v>1</v>
      </c>
      <c r="BH3" s="144"/>
      <c r="BI3" s="305" t="s">
        <v>354</v>
      </c>
      <c r="BJ3" s="146">
        <f>SMALL(AQ2:AU21,6)</f>
        <v>18</v>
      </c>
      <c r="BK3" s="146">
        <f>SMALL(AQ2:AU21,7)</f>
        <v>19</v>
      </c>
      <c r="BL3" s="146">
        <f>SMALL(AQ2:AU21,8)</f>
        <v>19</v>
      </c>
      <c r="BM3" s="146">
        <f>SMALL(AQ2:AU21,9)</f>
        <v>19</v>
      </c>
      <c r="BN3" s="146">
        <f>SMALL(AQ2:AU21,10)</f>
        <v>20</v>
      </c>
      <c r="BO3" s="144"/>
      <c r="BP3" s="144"/>
      <c r="BQ3" s="144"/>
      <c r="BR3" s="308"/>
      <c r="BS3" s="422"/>
      <c r="BT3" s="173" t="s">
        <v>325</v>
      </c>
      <c r="BU3" s="380">
        <f>BU5+BU6</f>
        <v>96</v>
      </c>
      <c r="BV3" s="399"/>
      <c r="BW3" s="380">
        <f>BU3</f>
        <v>96</v>
      </c>
      <c r="BX3" s="9"/>
      <c r="BY3" s="9"/>
      <c r="BZ3" s="9"/>
      <c r="CA3" s="9"/>
      <c r="CB3" s="385"/>
    </row>
    <row r="4" spans="2:80" ht="16.5" thickBot="1">
      <c r="B4" s="1">
        <v>8</v>
      </c>
      <c r="C4" s="379">
        <v>15</v>
      </c>
      <c r="D4" s="379">
        <v>12</v>
      </c>
      <c r="E4" s="379">
        <v>19</v>
      </c>
      <c r="F4" s="379">
        <v>6</v>
      </c>
      <c r="G4" s="379">
        <v>16</v>
      </c>
      <c r="H4" s="308"/>
      <c r="I4" s="383"/>
      <c r="J4" s="383"/>
      <c r="K4" s="398"/>
      <c r="L4" s="308"/>
      <c r="M4" s="308"/>
      <c r="N4" s="385"/>
      <c r="O4" s="414">
        <v>2</v>
      </c>
      <c r="P4" s="379">
        <f ca="1" t="shared" si="11"/>
        <v>8</v>
      </c>
      <c r="Q4" s="379">
        <f ca="1" t="shared" si="11"/>
        <v>8</v>
      </c>
      <c r="R4" s="262">
        <f aca="true" t="shared" si="13" ref="R4:R12">Q4-P4</f>
        <v>0</v>
      </c>
      <c r="S4" s="10">
        <f aca="true" t="shared" si="14" ref="S4:S12">IF(R4&lt;0,-1,IF(R4=0,0,IF(R4&gt;0,1)))</f>
        <v>0</v>
      </c>
      <c r="T4" s="9"/>
      <c r="U4" s="10">
        <f>SMALL(R3:R40,2)</f>
        <v>-7</v>
      </c>
      <c r="V4" s="308"/>
      <c r="W4" s="308"/>
      <c r="Y4" s="173"/>
      <c r="Z4" s="383"/>
      <c r="AA4" s="398"/>
      <c r="AB4" s="308"/>
      <c r="AC4" s="9"/>
      <c r="AD4" s="9"/>
      <c r="AE4" s="9"/>
      <c r="AF4" s="9"/>
      <c r="AG4" s="385"/>
      <c r="AJ4" s="308"/>
      <c r="AK4" s="308"/>
      <c r="AL4" s="308"/>
      <c r="AM4" s="173"/>
      <c r="AN4" s="383"/>
      <c r="AO4" s="407"/>
      <c r="AP4" s="1">
        <v>3</v>
      </c>
      <c r="AQ4" s="292">
        <f ca="1" t="shared" si="0"/>
        <v>43</v>
      </c>
      <c r="AR4" s="292">
        <f ca="1" t="shared" si="1"/>
        <v>44</v>
      </c>
      <c r="AS4" s="292">
        <f ca="1" t="shared" si="1"/>
        <v>42</v>
      </c>
      <c r="AT4" s="292">
        <f ca="1" t="shared" si="1"/>
        <v>24</v>
      </c>
      <c r="AU4" s="292">
        <f ca="1" t="shared" si="1"/>
        <v>40</v>
      </c>
      <c r="AV4" s="1">
        <v>3</v>
      </c>
      <c r="AW4" s="10">
        <f t="shared" si="2"/>
        <v>23</v>
      </c>
      <c r="AX4" s="10">
        <f t="shared" si="3"/>
        <v>24</v>
      </c>
      <c r="AY4" s="10">
        <f t="shared" si="4"/>
        <v>22</v>
      </c>
      <c r="AZ4" s="10">
        <f t="shared" si="5"/>
        <v>4</v>
      </c>
      <c r="BA4" s="10">
        <f t="shared" si="6"/>
        <v>20</v>
      </c>
      <c r="BB4" s="1">
        <v>3</v>
      </c>
      <c r="BC4" s="146">
        <f t="shared" si="12"/>
        <v>1</v>
      </c>
      <c r="BD4" s="146">
        <f t="shared" si="7"/>
        <v>1</v>
      </c>
      <c r="BE4" s="146">
        <f t="shared" si="8"/>
        <v>1</v>
      </c>
      <c r="BF4" s="146">
        <f t="shared" si="9"/>
        <v>1</v>
      </c>
      <c r="BG4" s="146">
        <f t="shared" si="10"/>
        <v>1</v>
      </c>
      <c r="BH4" s="144"/>
      <c r="BI4" s="305" t="s">
        <v>355</v>
      </c>
      <c r="BJ4" s="146">
        <f>SMALL(AQ2:AU21,11)</f>
        <v>20</v>
      </c>
      <c r="BK4" s="146">
        <f>SMALL(AQ2:AU21,12)</f>
        <v>20</v>
      </c>
      <c r="BL4" s="146">
        <f>SMALL(AQ2:AU21,13)</f>
        <v>20</v>
      </c>
      <c r="BM4" s="146">
        <f>SMALL(AQ2:AU21,14)</f>
        <v>21</v>
      </c>
      <c r="BN4" s="146">
        <f>SMALL(AQ2:AU21,15)</f>
        <v>21</v>
      </c>
      <c r="BO4" s="144"/>
      <c r="BP4" s="144"/>
      <c r="BQ4" s="144"/>
      <c r="BR4" s="308"/>
      <c r="BS4" s="422"/>
      <c r="BT4" s="173"/>
      <c r="BU4" s="383"/>
      <c r="BV4" s="398"/>
      <c r="BW4" s="308"/>
      <c r="BX4" s="9"/>
      <c r="BY4" s="9"/>
      <c r="BZ4" s="9"/>
      <c r="CA4" s="9"/>
      <c r="CB4" s="385"/>
    </row>
    <row r="5" spans="2:80" ht="16.5" thickBot="1">
      <c r="B5" s="1">
        <v>7</v>
      </c>
      <c r="C5" s="379">
        <v>11</v>
      </c>
      <c r="D5" s="379">
        <v>8</v>
      </c>
      <c r="E5" s="379">
        <v>14</v>
      </c>
      <c r="F5" s="379">
        <v>13</v>
      </c>
      <c r="G5" s="379">
        <v>3</v>
      </c>
      <c r="H5" s="308"/>
      <c r="I5" s="173" t="s">
        <v>342</v>
      </c>
      <c r="J5" s="380">
        <f>ABS(SUMIF(C25:G34,"&lt;0"))</f>
        <v>21</v>
      </c>
      <c r="K5" s="398"/>
      <c r="L5" s="380">
        <f>J5</f>
        <v>21</v>
      </c>
      <c r="M5" s="396" t="s">
        <v>329</v>
      </c>
      <c r="N5" s="385"/>
      <c r="O5" s="414">
        <v>3</v>
      </c>
      <c r="P5" s="379">
        <f ca="1" t="shared" si="11"/>
        <v>8</v>
      </c>
      <c r="Q5" s="379">
        <f ca="1" t="shared" si="11"/>
        <v>6</v>
      </c>
      <c r="R5" s="262">
        <f t="shared" si="13"/>
        <v>-2</v>
      </c>
      <c r="S5" s="10">
        <f t="shared" si="14"/>
        <v>-1</v>
      </c>
      <c r="T5" s="9"/>
      <c r="U5" s="10">
        <f>SMALL(R3:R40,3)</f>
        <v>-7</v>
      </c>
      <c r="V5" s="308"/>
      <c r="W5" s="308"/>
      <c r="Y5" s="173" t="s">
        <v>342</v>
      </c>
      <c r="Z5" s="380">
        <f>ABS(SUMIF(S3:S40,"&lt;0"))</f>
        <v>16</v>
      </c>
      <c r="AA5" s="398"/>
      <c r="AB5" s="380">
        <f>Z5</f>
        <v>16</v>
      </c>
      <c r="AC5" s="287" t="s">
        <v>329</v>
      </c>
      <c r="AD5" s="9"/>
      <c r="AE5" s="9"/>
      <c r="AF5" s="9"/>
      <c r="AG5" s="385"/>
      <c r="AJ5" s="308"/>
      <c r="AK5" s="308"/>
      <c r="AL5" s="308"/>
      <c r="AM5" s="173" t="s">
        <v>342</v>
      </c>
      <c r="AN5" s="397">
        <v>14</v>
      </c>
      <c r="AO5" s="408"/>
      <c r="AP5" s="1">
        <v>4</v>
      </c>
      <c r="AQ5" s="292">
        <f ca="1" t="shared" si="0"/>
        <v>16</v>
      </c>
      <c r="AR5" s="292">
        <f ca="1" t="shared" si="1"/>
        <v>43</v>
      </c>
      <c r="AS5" s="292">
        <f ca="1" t="shared" si="1"/>
        <v>20</v>
      </c>
      <c r="AT5" s="292">
        <f ca="1" t="shared" si="1"/>
        <v>37</v>
      </c>
      <c r="AU5" s="292">
        <f ca="1" t="shared" si="1"/>
        <v>19</v>
      </c>
      <c r="AV5" s="1">
        <v>4</v>
      </c>
      <c r="AW5" s="10">
        <f t="shared" si="2"/>
        <v>-4</v>
      </c>
      <c r="AX5" s="10">
        <f t="shared" si="3"/>
        <v>23</v>
      </c>
      <c r="AY5" s="10">
        <f t="shared" si="4"/>
        <v>0</v>
      </c>
      <c r="AZ5" s="10">
        <f t="shared" si="5"/>
        <v>17</v>
      </c>
      <c r="BA5" s="10">
        <f t="shared" si="6"/>
        <v>-1</v>
      </c>
      <c r="BB5" s="1">
        <v>4</v>
      </c>
      <c r="BC5" s="146">
        <f t="shared" si="12"/>
        <v>-1</v>
      </c>
      <c r="BD5" s="146">
        <f t="shared" si="7"/>
        <v>1</v>
      </c>
      <c r="BE5" s="146">
        <f t="shared" si="8"/>
        <v>0</v>
      </c>
      <c r="BF5" s="146">
        <f t="shared" si="9"/>
        <v>1</v>
      </c>
      <c r="BG5" s="146">
        <f t="shared" si="10"/>
        <v>-1</v>
      </c>
      <c r="BH5" s="144"/>
      <c r="BI5" s="305" t="s">
        <v>356</v>
      </c>
      <c r="BJ5" s="146">
        <f>SMALL(AQ2:AU21,16)</f>
        <v>21</v>
      </c>
      <c r="BK5" s="146">
        <f>SMALL(AQ2:AU21,17)</f>
        <v>21</v>
      </c>
      <c r="BL5" s="146">
        <f>SMALL(AQ2:AU21,18)</f>
        <v>22</v>
      </c>
      <c r="BM5" s="146">
        <f>SMALL(AQ2:AU21,19)</f>
        <v>22</v>
      </c>
      <c r="BN5" s="146">
        <f>SMALL(AQ2:AU21,20)</f>
        <v>23</v>
      </c>
      <c r="BO5" s="144"/>
      <c r="BP5" s="144"/>
      <c r="BQ5" s="144"/>
      <c r="BR5" s="308"/>
      <c r="BS5" s="422"/>
      <c r="BT5" s="173" t="s">
        <v>342</v>
      </c>
      <c r="BU5" s="380">
        <f>ABS(SUMIF(BC2:BG21,"&lt;0"))</f>
        <v>9</v>
      </c>
      <c r="BV5" s="398"/>
      <c r="BW5" s="380">
        <f>BU5</f>
        <v>9</v>
      </c>
      <c r="BX5" s="287" t="s">
        <v>329</v>
      </c>
      <c r="BY5" s="9"/>
      <c r="BZ5" s="9"/>
      <c r="CA5" s="9"/>
      <c r="CB5" s="385"/>
    </row>
    <row r="6" spans="2:80" ht="16.5" thickBot="1">
      <c r="B6" s="1">
        <v>6</v>
      </c>
      <c r="C6" s="379">
        <v>7</v>
      </c>
      <c r="D6" s="379">
        <v>9</v>
      </c>
      <c r="E6" s="379">
        <v>12</v>
      </c>
      <c r="F6" s="379">
        <v>3</v>
      </c>
      <c r="G6" s="379">
        <v>12</v>
      </c>
      <c r="H6" s="308"/>
      <c r="I6" s="173" t="s">
        <v>343</v>
      </c>
      <c r="J6" s="380">
        <f>(SUMIF(C25:G34,"&gt;0"))</f>
        <v>27</v>
      </c>
      <c r="K6" s="398"/>
      <c r="L6" s="380">
        <f>J6</f>
        <v>27</v>
      </c>
      <c r="M6" s="396" t="s">
        <v>330</v>
      </c>
      <c r="N6" s="385"/>
      <c r="O6" s="414">
        <v>4</v>
      </c>
      <c r="P6" s="379">
        <f ca="1" t="shared" si="11"/>
        <v>6</v>
      </c>
      <c r="Q6" s="379">
        <v>9</v>
      </c>
      <c r="R6" s="262">
        <f t="shared" si="13"/>
        <v>3</v>
      </c>
      <c r="S6" s="10">
        <f t="shared" si="14"/>
        <v>1</v>
      </c>
      <c r="T6" s="9"/>
      <c r="U6" s="10">
        <f>SMALL(R3:R40,4)</f>
        <v>-7</v>
      </c>
      <c r="V6" s="308"/>
      <c r="W6" s="308"/>
      <c r="Y6" s="173" t="s">
        <v>343</v>
      </c>
      <c r="Z6" s="380">
        <f>(SUMIF(S3:S40,"&gt;0"))</f>
        <v>17</v>
      </c>
      <c r="AA6" s="398"/>
      <c r="AB6" s="380">
        <f>Z6</f>
        <v>17</v>
      </c>
      <c r="AC6" s="287" t="s">
        <v>330</v>
      </c>
      <c r="AD6" s="9"/>
      <c r="AE6" s="9"/>
      <c r="AF6" s="9"/>
      <c r="AG6" s="385"/>
      <c r="AJ6" s="308"/>
      <c r="AK6" s="308"/>
      <c r="AL6" s="308"/>
      <c r="AM6" s="173" t="s">
        <v>343</v>
      </c>
      <c r="AN6" s="397">
        <v>12</v>
      </c>
      <c r="AO6" s="408"/>
      <c r="AP6" s="1">
        <v>5</v>
      </c>
      <c r="AQ6" s="292">
        <f ca="1" t="shared" si="0"/>
        <v>25</v>
      </c>
      <c r="AR6" s="292">
        <f ca="1" t="shared" si="1"/>
        <v>40</v>
      </c>
      <c r="AS6" s="292">
        <f ca="1" t="shared" si="1"/>
        <v>26</v>
      </c>
      <c r="AT6" s="292">
        <f ca="1" t="shared" si="1"/>
        <v>30</v>
      </c>
      <c r="AU6" s="292">
        <f ca="1" t="shared" si="1"/>
        <v>29</v>
      </c>
      <c r="AV6" s="1">
        <v>5</v>
      </c>
      <c r="AW6" s="10">
        <f t="shared" si="2"/>
        <v>5</v>
      </c>
      <c r="AX6" s="10">
        <f t="shared" si="3"/>
        <v>20</v>
      </c>
      <c r="AY6" s="10">
        <f t="shared" si="4"/>
        <v>6</v>
      </c>
      <c r="AZ6" s="10">
        <f t="shared" si="5"/>
        <v>10</v>
      </c>
      <c r="BA6" s="10">
        <f t="shared" si="6"/>
        <v>9</v>
      </c>
      <c r="BB6" s="1">
        <v>5</v>
      </c>
      <c r="BC6" s="146">
        <f t="shared" si="12"/>
        <v>1</v>
      </c>
      <c r="BD6" s="146">
        <f t="shared" si="7"/>
        <v>1</v>
      </c>
      <c r="BE6" s="146">
        <f t="shared" si="8"/>
        <v>1</v>
      </c>
      <c r="BF6" s="146">
        <f t="shared" si="9"/>
        <v>1</v>
      </c>
      <c r="BG6" s="146">
        <f t="shared" si="10"/>
        <v>1</v>
      </c>
      <c r="BH6" s="144"/>
      <c r="BI6" s="305" t="s">
        <v>357</v>
      </c>
      <c r="BJ6" s="146">
        <f>SMALL(AQ2:AU21,21)</f>
        <v>23</v>
      </c>
      <c r="BK6" s="146">
        <f>SMALL(AQ2:AU21,22)</f>
        <v>23</v>
      </c>
      <c r="BL6" s="146">
        <f>SMALL(AQ2:AU21,23)</f>
        <v>23</v>
      </c>
      <c r="BM6" s="146">
        <f>SMALL(AQ2:AU21,24)</f>
        <v>23</v>
      </c>
      <c r="BN6" s="146">
        <f>SMALL(AQ2:AU21,25)</f>
        <v>24</v>
      </c>
      <c r="BO6" s="144"/>
      <c r="BP6" s="144"/>
      <c r="BQ6" s="144"/>
      <c r="BR6" s="308"/>
      <c r="BS6" s="422"/>
      <c r="BT6" s="173" t="s">
        <v>343</v>
      </c>
      <c r="BU6" s="380">
        <f>ABS(SUMIF(BC2:BG21,"&gt;0"))</f>
        <v>87</v>
      </c>
      <c r="BV6" s="398"/>
      <c r="BW6" s="380">
        <f>BU6</f>
        <v>87</v>
      </c>
      <c r="BX6" s="287" t="s">
        <v>330</v>
      </c>
      <c r="BY6" s="9"/>
      <c r="BZ6" s="9"/>
      <c r="CA6" s="9"/>
      <c r="CB6" s="385"/>
    </row>
    <row r="7" spans="2:80" ht="16.5" thickBot="1">
      <c r="B7" s="1">
        <v>5</v>
      </c>
      <c r="C7" s="379">
        <v>13</v>
      </c>
      <c r="D7" s="379">
        <v>11</v>
      </c>
      <c r="E7" s="379">
        <v>3</v>
      </c>
      <c r="F7" s="379">
        <v>15</v>
      </c>
      <c r="G7" s="379">
        <v>1</v>
      </c>
      <c r="H7" s="308"/>
      <c r="I7" s="383" t="s">
        <v>328</v>
      </c>
      <c r="J7" s="380">
        <f>MIN(J5:J6)</f>
        <v>21</v>
      </c>
      <c r="K7" s="398"/>
      <c r="L7" s="380">
        <f>J7</f>
        <v>21</v>
      </c>
      <c r="M7" s="396" t="s">
        <v>341</v>
      </c>
      <c r="N7" s="385"/>
      <c r="O7" s="414">
        <v>5</v>
      </c>
      <c r="P7" s="379">
        <f ca="1" t="shared" si="11"/>
        <v>9</v>
      </c>
      <c r="Q7" s="379">
        <f ca="1" t="shared" si="11"/>
        <v>2</v>
      </c>
      <c r="R7" s="262">
        <f t="shared" si="13"/>
        <v>-7</v>
      </c>
      <c r="S7" s="10">
        <f t="shared" si="14"/>
        <v>-1</v>
      </c>
      <c r="T7" s="9"/>
      <c r="U7" s="10">
        <f>SMALL(R3:R40,5)</f>
        <v>-6</v>
      </c>
      <c r="V7" s="308"/>
      <c r="W7" s="308"/>
      <c r="Y7" s="173" t="s">
        <v>328</v>
      </c>
      <c r="Z7" s="380">
        <f>MIN(Z5:Z6)</f>
        <v>16</v>
      </c>
      <c r="AA7" s="398"/>
      <c r="AB7" s="380">
        <f>Z7</f>
        <v>16</v>
      </c>
      <c r="AC7" s="287" t="s">
        <v>341</v>
      </c>
      <c r="AD7" s="9"/>
      <c r="AE7" s="9"/>
      <c r="AF7" s="9"/>
      <c r="AG7" s="385"/>
      <c r="AJ7" s="308"/>
      <c r="AK7" s="308"/>
      <c r="AL7" s="308"/>
      <c r="AM7" s="173" t="s">
        <v>328</v>
      </c>
      <c r="AN7" s="380">
        <f>MIN(AN5:AN6)</f>
        <v>12</v>
      </c>
      <c r="AO7" s="408"/>
      <c r="AP7" s="1">
        <v>6</v>
      </c>
      <c r="AQ7" s="292">
        <f ca="1" t="shared" si="0"/>
        <v>44</v>
      </c>
      <c r="AR7" s="292">
        <f ca="1" t="shared" si="1"/>
        <v>37</v>
      </c>
      <c r="AS7" s="292">
        <f ca="1" t="shared" si="1"/>
        <v>20</v>
      </c>
      <c r="AT7" s="292">
        <f ca="1" t="shared" si="1"/>
        <v>40</v>
      </c>
      <c r="AU7" s="292">
        <f ca="1" t="shared" si="1"/>
        <v>23</v>
      </c>
      <c r="AV7" s="1">
        <v>6</v>
      </c>
      <c r="AW7" s="10">
        <f t="shared" si="2"/>
        <v>24</v>
      </c>
      <c r="AX7" s="10">
        <f t="shared" si="3"/>
        <v>17</v>
      </c>
      <c r="AY7" s="10">
        <f t="shared" si="4"/>
        <v>0</v>
      </c>
      <c r="AZ7" s="10">
        <f t="shared" si="5"/>
        <v>20</v>
      </c>
      <c r="BA7" s="10">
        <f t="shared" si="6"/>
        <v>3</v>
      </c>
      <c r="BB7" s="1">
        <v>6</v>
      </c>
      <c r="BC7" s="146">
        <f t="shared" si="12"/>
        <v>1</v>
      </c>
      <c r="BD7" s="146">
        <f t="shared" si="7"/>
        <v>1</v>
      </c>
      <c r="BE7" s="146">
        <f t="shared" si="8"/>
        <v>0</v>
      </c>
      <c r="BF7" s="146">
        <f t="shared" si="9"/>
        <v>1</v>
      </c>
      <c r="BG7" s="146">
        <f t="shared" si="10"/>
        <v>1</v>
      </c>
      <c r="BH7" s="144"/>
      <c r="BI7" s="305" t="s">
        <v>358</v>
      </c>
      <c r="BJ7" s="146">
        <f>SMALL(AQ2:AU21,26)</f>
        <v>24</v>
      </c>
      <c r="BK7" s="146">
        <f>SMALL(AQ2:AU21,27)</f>
        <v>25</v>
      </c>
      <c r="BL7" s="146">
        <f>SMALL(AQ2:AU21,28)</f>
        <v>25</v>
      </c>
      <c r="BM7" s="146">
        <f>SMALL(AQ2:AU21,29)</f>
        <v>25</v>
      </c>
      <c r="BN7" s="146">
        <f>SMALL(AQ2:AU21,30)</f>
        <v>25</v>
      </c>
      <c r="BO7" s="144"/>
      <c r="BP7" s="144"/>
      <c r="BQ7" s="144"/>
      <c r="BR7" s="308"/>
      <c r="BS7" s="422"/>
      <c r="BT7" s="173" t="s">
        <v>328</v>
      </c>
      <c r="BU7" s="380">
        <f>MIN(BU5:BU6)</f>
        <v>9</v>
      </c>
      <c r="BV7" s="398"/>
      <c r="BW7" s="380">
        <f>BU7</f>
        <v>9</v>
      </c>
      <c r="BX7" s="287" t="s">
        <v>341</v>
      </c>
      <c r="BY7" s="9"/>
      <c r="BZ7" s="9"/>
      <c r="CA7" s="9"/>
      <c r="CB7" s="385"/>
    </row>
    <row r="8" spans="2:80" ht="16.5" thickBot="1">
      <c r="B8" s="1">
        <v>4</v>
      </c>
      <c r="C8" s="379">
        <v>2</v>
      </c>
      <c r="D8" s="379">
        <v>10</v>
      </c>
      <c r="E8" s="379">
        <v>12</v>
      </c>
      <c r="F8" s="379">
        <v>14</v>
      </c>
      <c r="G8" s="379">
        <v>20</v>
      </c>
      <c r="H8" s="308"/>
      <c r="J8" s="383" t="s">
        <v>337</v>
      </c>
      <c r="K8" s="399"/>
      <c r="L8" s="396" t="s">
        <v>333</v>
      </c>
      <c r="M8" s="308"/>
      <c r="N8" s="385"/>
      <c r="O8" s="414">
        <v>6</v>
      </c>
      <c r="P8" s="379">
        <f ca="1" t="shared" si="11"/>
        <v>2</v>
      </c>
      <c r="Q8" s="379">
        <f ca="1" t="shared" si="11"/>
        <v>10</v>
      </c>
      <c r="R8" s="262">
        <f t="shared" si="13"/>
        <v>8</v>
      </c>
      <c r="S8" s="10">
        <f t="shared" si="14"/>
        <v>1</v>
      </c>
      <c r="T8" s="9"/>
      <c r="U8" s="10">
        <f>SMALL(R3:R40,6)</f>
        <v>-4</v>
      </c>
      <c r="V8" s="308"/>
      <c r="W8" s="308"/>
      <c r="Z8" s="383" t="s">
        <v>337</v>
      </c>
      <c r="AA8" s="399"/>
      <c r="AB8" s="396" t="s">
        <v>333</v>
      </c>
      <c r="AC8" s="9"/>
      <c r="AD8" s="9"/>
      <c r="AE8" s="9"/>
      <c r="AF8" s="9"/>
      <c r="AG8" s="385"/>
      <c r="AJ8" s="308"/>
      <c r="AK8" s="308"/>
      <c r="AL8" s="308"/>
      <c r="AM8" s="353"/>
      <c r="AN8" s="383" t="s">
        <v>337</v>
      </c>
      <c r="AO8" s="407"/>
      <c r="AP8" s="1">
        <v>7</v>
      </c>
      <c r="AQ8" s="292">
        <f ca="1" t="shared" si="0"/>
        <v>44</v>
      </c>
      <c r="AR8" s="292">
        <f ca="1" t="shared" si="1"/>
        <v>23</v>
      </c>
      <c r="AS8" s="292">
        <f ca="1" t="shared" si="1"/>
        <v>31</v>
      </c>
      <c r="AT8" s="292">
        <f ca="1" t="shared" si="1"/>
        <v>42</v>
      </c>
      <c r="AU8" s="292">
        <f ca="1" t="shared" si="1"/>
        <v>32</v>
      </c>
      <c r="AV8" s="1">
        <v>7</v>
      </c>
      <c r="AW8" s="10">
        <f t="shared" si="2"/>
        <v>24</v>
      </c>
      <c r="AX8" s="10">
        <f t="shared" si="3"/>
        <v>3</v>
      </c>
      <c r="AY8" s="10">
        <f t="shared" si="4"/>
        <v>11</v>
      </c>
      <c r="AZ8" s="10">
        <f t="shared" si="5"/>
        <v>22</v>
      </c>
      <c r="BA8" s="10">
        <f t="shared" si="6"/>
        <v>12</v>
      </c>
      <c r="BB8" s="1">
        <v>7</v>
      </c>
      <c r="BC8" s="146">
        <f t="shared" si="12"/>
        <v>1</v>
      </c>
      <c r="BD8" s="146">
        <f t="shared" si="7"/>
        <v>1</v>
      </c>
      <c r="BE8" s="146">
        <f t="shared" si="8"/>
        <v>1</v>
      </c>
      <c r="BF8" s="146">
        <f t="shared" si="9"/>
        <v>1</v>
      </c>
      <c r="BG8" s="146">
        <f t="shared" si="10"/>
        <v>1</v>
      </c>
      <c r="BH8" s="144"/>
      <c r="BI8" s="305" t="s">
        <v>359</v>
      </c>
      <c r="BJ8" s="146">
        <f>SMALL(AQ2:AU21,31)</f>
        <v>25</v>
      </c>
      <c r="BK8" s="146">
        <f>SMALL(AQ2:AU21,32)</f>
        <v>26</v>
      </c>
      <c r="BL8" s="146">
        <f>SMALL(AQ2:AU21,33)</f>
        <v>27</v>
      </c>
      <c r="BM8" s="146">
        <f>SMALL(AQ2:AU21,34)</f>
        <v>27</v>
      </c>
      <c r="BN8" s="146">
        <f>SMALL(AQ2:AU21,35)</f>
        <v>27</v>
      </c>
      <c r="BO8" s="144"/>
      <c r="BP8" s="144"/>
      <c r="BQ8" s="144"/>
      <c r="BR8" s="308"/>
      <c r="BS8" s="422"/>
      <c r="BT8" s="422"/>
      <c r="BU8" s="383" t="s">
        <v>337</v>
      </c>
      <c r="BV8" s="399"/>
      <c r="BW8" s="396" t="s">
        <v>333</v>
      </c>
      <c r="BX8" s="9"/>
      <c r="BY8" s="9"/>
      <c r="BZ8" s="9"/>
      <c r="CA8" s="9"/>
      <c r="CB8" s="385"/>
    </row>
    <row r="9" spans="2:80" ht="16.5" thickBot="1">
      <c r="B9" s="1">
        <v>3</v>
      </c>
      <c r="C9" s="379">
        <v>11</v>
      </c>
      <c r="D9" s="379">
        <v>1</v>
      </c>
      <c r="E9" s="379">
        <v>9</v>
      </c>
      <c r="F9" s="379">
        <v>3</v>
      </c>
      <c r="G9" s="379">
        <v>9</v>
      </c>
      <c r="H9" s="308"/>
      <c r="I9" s="381" t="s">
        <v>311</v>
      </c>
      <c r="J9" s="278">
        <f>(J7+0.5-J3/2)/(SQRT(J3)/2)</f>
        <v>-0.7216878364870323</v>
      </c>
      <c r="K9" s="398"/>
      <c r="L9" s="380">
        <f>L7</f>
        <v>21</v>
      </c>
      <c r="M9" s="287" t="s">
        <v>341</v>
      </c>
      <c r="N9" s="385"/>
      <c r="O9" s="414">
        <v>7</v>
      </c>
      <c r="P9" s="379">
        <f ca="1" t="shared" si="11"/>
        <v>3</v>
      </c>
      <c r="Q9" s="379">
        <v>11</v>
      </c>
      <c r="R9" s="262">
        <f t="shared" si="13"/>
        <v>8</v>
      </c>
      <c r="S9" s="10">
        <f t="shared" si="14"/>
        <v>1</v>
      </c>
      <c r="T9" s="9"/>
      <c r="U9" s="10">
        <f>SMALL(R3:R40,7)</f>
        <v>-4</v>
      </c>
      <c r="V9" s="308"/>
      <c r="W9" s="308"/>
      <c r="X9" s="411"/>
      <c r="Y9" s="173" t="s">
        <v>311</v>
      </c>
      <c r="Z9" s="278">
        <f>(Z7+0.5-Z3/2)/(SQRT(Z3)/2)</f>
        <v>0</v>
      </c>
      <c r="AA9" s="398"/>
      <c r="AB9" s="380">
        <f>AB7</f>
        <v>16</v>
      </c>
      <c r="AC9" s="287" t="s">
        <v>341</v>
      </c>
      <c r="AD9" s="9"/>
      <c r="AE9" s="9"/>
      <c r="AF9" s="9"/>
      <c r="AG9" s="385"/>
      <c r="AJ9" s="308"/>
      <c r="AK9" s="308"/>
      <c r="AL9" s="308"/>
      <c r="AM9" s="173" t="s">
        <v>311</v>
      </c>
      <c r="AN9" s="278">
        <f>(AN7+0.5-AN3/2)/(SQRT(AN3)/2)</f>
        <v>-0.5669467095138409</v>
      </c>
      <c r="AO9" s="420"/>
      <c r="AP9" s="1">
        <v>8</v>
      </c>
      <c r="AQ9" s="292">
        <f ca="1" t="shared" si="0"/>
        <v>15</v>
      </c>
      <c r="AR9" s="292">
        <f ca="1" t="shared" si="1"/>
        <v>45</v>
      </c>
      <c r="AS9" s="292">
        <f ca="1" t="shared" si="1"/>
        <v>36</v>
      </c>
      <c r="AT9" s="292">
        <f ca="1" t="shared" si="1"/>
        <v>39</v>
      </c>
      <c r="AU9" s="292">
        <f ca="1" t="shared" si="1"/>
        <v>21</v>
      </c>
      <c r="AV9" s="1">
        <v>8</v>
      </c>
      <c r="AW9" s="10">
        <f t="shared" si="2"/>
        <v>-5</v>
      </c>
      <c r="AX9" s="10">
        <f t="shared" si="3"/>
        <v>25</v>
      </c>
      <c r="AY9" s="10">
        <f t="shared" si="4"/>
        <v>16</v>
      </c>
      <c r="AZ9" s="10">
        <f t="shared" si="5"/>
        <v>19</v>
      </c>
      <c r="BA9" s="10">
        <f t="shared" si="6"/>
        <v>1</v>
      </c>
      <c r="BB9" s="1">
        <v>8</v>
      </c>
      <c r="BC9" s="146">
        <f t="shared" si="12"/>
        <v>-1</v>
      </c>
      <c r="BD9" s="146">
        <f t="shared" si="7"/>
        <v>1</v>
      </c>
      <c r="BE9" s="146">
        <f t="shared" si="8"/>
        <v>1</v>
      </c>
      <c r="BF9" s="146">
        <f t="shared" si="9"/>
        <v>1</v>
      </c>
      <c r="BG9" s="146">
        <f t="shared" si="10"/>
        <v>1</v>
      </c>
      <c r="BH9" s="144"/>
      <c r="BI9" s="305" t="s">
        <v>360</v>
      </c>
      <c r="BJ9" s="146">
        <f>SMALL(AQ2:AU21,36)</f>
        <v>27</v>
      </c>
      <c r="BK9" s="146">
        <f>SMALL(AQ2:AU21,37)</f>
        <v>27</v>
      </c>
      <c r="BL9" s="146">
        <f>SMALL(AQ2:AU21,38)</f>
        <v>28</v>
      </c>
      <c r="BM9" s="146">
        <f>SMALL(AQ2:AU21,39)</f>
        <v>28</v>
      </c>
      <c r="BN9" s="146">
        <f>SMALL(AQ2:AU21,40)</f>
        <v>28</v>
      </c>
      <c r="BO9" s="144"/>
      <c r="BP9" s="144" t="s">
        <v>348</v>
      </c>
      <c r="BQ9" s="144"/>
      <c r="BR9" s="308"/>
      <c r="BS9" s="411"/>
      <c r="BT9" s="173" t="s">
        <v>311</v>
      </c>
      <c r="BU9" s="278">
        <f>(BU7+0.5-BU3/2)/(SQRT(BU3)/2)</f>
        <v>-7.858779591429363</v>
      </c>
      <c r="BV9" s="398"/>
      <c r="BW9" s="380">
        <f>BW7</f>
        <v>9</v>
      </c>
      <c r="BX9" s="287" t="s">
        <v>341</v>
      </c>
      <c r="BY9" s="9"/>
      <c r="BZ9" s="9"/>
      <c r="CA9" s="9"/>
      <c r="CB9" s="385"/>
    </row>
    <row r="10" spans="2:80" ht="16.5" thickBot="1">
      <c r="B10" s="1">
        <v>2</v>
      </c>
      <c r="C10" s="379">
        <v>20</v>
      </c>
      <c r="D10" s="379">
        <v>15</v>
      </c>
      <c r="E10" s="379">
        <v>14</v>
      </c>
      <c r="F10" s="379">
        <v>10</v>
      </c>
      <c r="G10" s="379">
        <v>14</v>
      </c>
      <c r="H10" s="308"/>
      <c r="I10" s="383" t="s">
        <v>336</v>
      </c>
      <c r="J10" s="391">
        <f>NORMSDIST(J9)</f>
        <v>0.23524321102939494</v>
      </c>
      <c r="K10" s="398"/>
      <c r="L10" s="176">
        <f>BINOMDIST(L7,L3,0.5,TRUE)</f>
        <v>0.2354395068108559</v>
      </c>
      <c r="M10" s="179" t="s">
        <v>344</v>
      </c>
      <c r="N10" s="385"/>
      <c r="O10" s="414">
        <v>8</v>
      </c>
      <c r="P10" s="379">
        <f ca="1" t="shared" si="11"/>
        <v>5</v>
      </c>
      <c r="Q10" s="379">
        <v>11</v>
      </c>
      <c r="R10" s="262">
        <f t="shared" si="13"/>
        <v>6</v>
      </c>
      <c r="S10" s="10">
        <f t="shared" si="14"/>
        <v>1</v>
      </c>
      <c r="T10" s="9"/>
      <c r="U10" s="10">
        <f>SMALL(R3:R40,8)</f>
        <v>-4</v>
      </c>
      <c r="V10" s="308"/>
      <c r="W10" s="308"/>
      <c r="X10" s="9"/>
      <c r="Y10" s="173" t="s">
        <v>336</v>
      </c>
      <c r="Z10" s="278">
        <f>NORMSDIST(Z9)</f>
        <v>0.5</v>
      </c>
      <c r="AA10" s="398"/>
      <c r="AB10" s="278">
        <f>BINOMDIST(AB7,AB3,0.5,TRUE)</f>
        <v>0.5000000000000002</v>
      </c>
      <c r="AC10" s="179" t="s">
        <v>344</v>
      </c>
      <c r="AD10" s="9"/>
      <c r="AE10" s="9"/>
      <c r="AF10" s="9"/>
      <c r="AG10" s="385"/>
      <c r="AJ10" s="308"/>
      <c r="AK10" s="308"/>
      <c r="AL10" s="308"/>
      <c r="AM10" s="173" t="s">
        <v>336</v>
      </c>
      <c r="AN10" s="278">
        <f>NORMSDIST(AN9)</f>
        <v>0.28537519402908706</v>
      </c>
      <c r="AO10" s="420"/>
      <c r="AP10" s="1">
        <v>9</v>
      </c>
      <c r="AQ10" s="292">
        <f ca="1" t="shared" si="0"/>
        <v>36</v>
      </c>
      <c r="AR10" s="292">
        <f ca="1" t="shared" si="1"/>
        <v>15</v>
      </c>
      <c r="AS10" s="292">
        <f ca="1" t="shared" si="1"/>
        <v>31</v>
      </c>
      <c r="AT10" s="292">
        <f ca="1" t="shared" si="1"/>
        <v>34</v>
      </c>
      <c r="AU10" s="292">
        <f ca="1" t="shared" si="1"/>
        <v>29</v>
      </c>
      <c r="AV10" s="1">
        <v>9</v>
      </c>
      <c r="AW10" s="10">
        <f t="shared" si="2"/>
        <v>16</v>
      </c>
      <c r="AX10" s="10">
        <f t="shared" si="3"/>
        <v>-5</v>
      </c>
      <c r="AY10" s="10">
        <f t="shared" si="4"/>
        <v>11</v>
      </c>
      <c r="AZ10" s="10">
        <f t="shared" si="5"/>
        <v>14</v>
      </c>
      <c r="BA10" s="10">
        <f t="shared" si="6"/>
        <v>9</v>
      </c>
      <c r="BB10" s="1">
        <v>9</v>
      </c>
      <c r="BC10" s="146">
        <f t="shared" si="12"/>
        <v>1</v>
      </c>
      <c r="BD10" s="146">
        <f t="shared" si="7"/>
        <v>-1</v>
      </c>
      <c r="BE10" s="146">
        <f t="shared" si="8"/>
        <v>1</v>
      </c>
      <c r="BF10" s="146">
        <f t="shared" si="9"/>
        <v>1</v>
      </c>
      <c r="BG10" s="146">
        <f t="shared" si="10"/>
        <v>1</v>
      </c>
      <c r="BH10" s="144"/>
      <c r="BI10" s="305" t="s">
        <v>361</v>
      </c>
      <c r="BJ10" s="146">
        <f>SMALL(AQ2:AU21,41)</f>
        <v>29</v>
      </c>
      <c r="BK10" s="146">
        <f>SMALL(AQ2:AU21,42)</f>
        <v>29</v>
      </c>
      <c r="BL10" s="146">
        <f>SMALL(AQ2:AU21,43)</f>
        <v>29</v>
      </c>
      <c r="BM10" s="146">
        <f>SMALL(AQ2:AU21,44)</f>
        <v>29</v>
      </c>
      <c r="BN10" s="146">
        <f>SMALL(AQ2:AU21,45)</f>
        <v>29</v>
      </c>
      <c r="BO10" s="144"/>
      <c r="BP10" s="146">
        <f>median100</f>
        <v>20</v>
      </c>
      <c r="BQ10" s="144"/>
      <c r="BR10" s="308"/>
      <c r="BS10" s="9"/>
      <c r="BT10" s="173" t="s">
        <v>336</v>
      </c>
      <c r="BU10" s="278">
        <f>NORMSDIST(BU9)</f>
        <v>1.939470430497405E-15</v>
      </c>
      <c r="BV10" s="398"/>
      <c r="BW10" s="278">
        <f>BINOMDIST(BW7,BW3,0.5,TRUE)</f>
        <v>1.8201294537221816E-17</v>
      </c>
      <c r="BX10" s="179" t="s">
        <v>344</v>
      </c>
      <c r="BY10" s="9"/>
      <c r="BZ10" s="9"/>
      <c r="CA10" s="9"/>
      <c r="CB10" s="385"/>
    </row>
    <row r="11" spans="2:80" ht="16.5" thickBot="1">
      <c r="B11" s="1">
        <v>1</v>
      </c>
      <c r="C11" s="379">
        <v>13</v>
      </c>
      <c r="D11" s="379">
        <v>14</v>
      </c>
      <c r="E11" s="379">
        <v>0</v>
      </c>
      <c r="F11" s="379">
        <v>17</v>
      </c>
      <c r="G11" s="379">
        <v>5</v>
      </c>
      <c r="H11" s="308"/>
      <c r="I11" s="404"/>
      <c r="J11" s="405"/>
      <c r="K11" s="398"/>
      <c r="L11" s="308"/>
      <c r="M11" s="308"/>
      <c r="N11" s="385"/>
      <c r="O11" s="414">
        <v>9</v>
      </c>
      <c r="P11" s="379">
        <f ca="1" t="shared" si="11"/>
        <v>7</v>
      </c>
      <c r="Q11" s="379">
        <f ca="1" t="shared" si="11"/>
        <v>10</v>
      </c>
      <c r="R11" s="262">
        <f t="shared" si="13"/>
        <v>3</v>
      </c>
      <c r="S11" s="10">
        <f t="shared" si="14"/>
        <v>1</v>
      </c>
      <c r="T11" s="9"/>
      <c r="U11" s="10">
        <f>SMALL(R3:R40,9)</f>
        <v>-3</v>
      </c>
      <c r="V11" s="308"/>
      <c r="W11" s="308"/>
      <c r="X11" s="398"/>
      <c r="Y11" s="404"/>
      <c r="Z11" s="405"/>
      <c r="AA11" s="398"/>
      <c r="AB11" s="9"/>
      <c r="AC11" s="9"/>
      <c r="AD11" s="9"/>
      <c r="AE11" s="9"/>
      <c r="AF11" s="9"/>
      <c r="AG11" s="385"/>
      <c r="AH11" s="308"/>
      <c r="AI11" s="308"/>
      <c r="AJ11" s="308"/>
      <c r="AK11" s="308"/>
      <c r="AL11" s="308"/>
      <c r="AM11" s="308"/>
      <c r="AN11" s="308"/>
      <c r="AO11" s="385"/>
      <c r="AP11" s="1">
        <v>10</v>
      </c>
      <c r="AQ11" s="292">
        <f ca="1" t="shared" si="0"/>
        <v>45</v>
      </c>
      <c r="AR11" s="292">
        <f ca="1" t="shared" si="1"/>
        <v>21</v>
      </c>
      <c r="AS11" s="292">
        <f ca="1" t="shared" si="1"/>
        <v>25</v>
      </c>
      <c r="AT11" s="292">
        <f ca="1" t="shared" si="1"/>
        <v>31</v>
      </c>
      <c r="AU11" s="292">
        <f ca="1" t="shared" si="1"/>
        <v>28</v>
      </c>
      <c r="AV11" s="1">
        <v>10</v>
      </c>
      <c r="AW11" s="10">
        <f t="shared" si="2"/>
        <v>25</v>
      </c>
      <c r="AX11" s="10">
        <f t="shared" si="3"/>
        <v>1</v>
      </c>
      <c r="AY11" s="10">
        <f t="shared" si="4"/>
        <v>5</v>
      </c>
      <c r="AZ11" s="10">
        <f t="shared" si="5"/>
        <v>11</v>
      </c>
      <c r="BA11" s="10">
        <f t="shared" si="6"/>
        <v>8</v>
      </c>
      <c r="BB11" s="1">
        <v>10</v>
      </c>
      <c r="BC11" s="146">
        <f t="shared" si="12"/>
        <v>1</v>
      </c>
      <c r="BD11" s="146">
        <f t="shared" si="7"/>
        <v>1</v>
      </c>
      <c r="BE11" s="146">
        <f t="shared" si="8"/>
        <v>1</v>
      </c>
      <c r="BF11" s="146">
        <f t="shared" si="9"/>
        <v>1</v>
      </c>
      <c r="BG11" s="146">
        <f t="shared" si="10"/>
        <v>1</v>
      </c>
      <c r="BH11" s="144"/>
      <c r="BI11" s="305" t="s">
        <v>362</v>
      </c>
      <c r="BJ11" s="426">
        <f>SMALL(AQ2:AU21,46)</f>
        <v>29</v>
      </c>
      <c r="BK11" s="426">
        <f>SMALL(AQ2:AU21,47)</f>
        <v>29</v>
      </c>
      <c r="BL11" s="146">
        <f>SMALL(AQ2:AU21,48)</f>
        <v>30</v>
      </c>
      <c r="BM11" s="146">
        <f>SMALL(AQ2:AU21,49)</f>
        <v>30</v>
      </c>
      <c r="BN11" s="146">
        <f>SMALL(AQ2:AU21,50)</f>
        <v>30</v>
      </c>
      <c r="BP11" s="144" t="s">
        <v>349</v>
      </c>
      <c r="BQ11" s="144"/>
      <c r="BR11" s="398"/>
      <c r="BS11" s="398"/>
      <c r="BT11" s="404"/>
      <c r="BU11" s="405"/>
      <c r="BV11" s="398"/>
      <c r="BW11" s="9"/>
      <c r="BX11" s="9"/>
      <c r="BY11" s="9"/>
      <c r="BZ11" s="9"/>
      <c r="CA11" s="9"/>
      <c r="CB11" s="385"/>
    </row>
    <row r="12" spans="3:80" ht="16.5" thickBot="1">
      <c r="C12" s="402">
        <v>1</v>
      </c>
      <c r="D12" s="402">
        <v>2</v>
      </c>
      <c r="E12" s="402">
        <v>3</v>
      </c>
      <c r="F12" s="402">
        <v>4</v>
      </c>
      <c r="G12" s="402">
        <v>5</v>
      </c>
      <c r="H12" s="308"/>
      <c r="I12" s="405"/>
      <c r="J12" s="405"/>
      <c r="K12" s="398"/>
      <c r="L12" s="308"/>
      <c r="M12" s="308"/>
      <c r="N12" s="385"/>
      <c r="O12" s="414">
        <v>10</v>
      </c>
      <c r="P12" s="379">
        <f ca="1" t="shared" si="11"/>
        <v>7</v>
      </c>
      <c r="Q12" s="379">
        <f ca="1" t="shared" si="11"/>
        <v>5</v>
      </c>
      <c r="R12" s="262">
        <f t="shared" si="13"/>
        <v>-2</v>
      </c>
      <c r="S12" s="10">
        <f t="shared" si="14"/>
        <v>-1</v>
      </c>
      <c r="T12" s="9"/>
      <c r="U12" s="10">
        <f>SMALL(R3:R40,10)</f>
        <v>-2</v>
      </c>
      <c r="V12" s="308"/>
      <c r="W12" s="308"/>
      <c r="X12" s="398"/>
      <c r="Y12" s="405"/>
      <c r="Z12" s="405"/>
      <c r="AA12" s="398"/>
      <c r="AB12" s="9"/>
      <c r="AC12" s="9"/>
      <c r="AD12" s="9"/>
      <c r="AE12" s="9"/>
      <c r="AF12" s="9"/>
      <c r="AG12" s="385"/>
      <c r="AH12" s="308"/>
      <c r="AI12" s="308"/>
      <c r="AJ12" s="308"/>
      <c r="AK12" s="308"/>
      <c r="AL12" s="308"/>
      <c r="AM12" s="308"/>
      <c r="AN12" s="308"/>
      <c r="AO12" s="385"/>
      <c r="AP12" s="1">
        <v>11</v>
      </c>
      <c r="AQ12" s="292">
        <f ca="1" t="shared" si="0"/>
        <v>36</v>
      </c>
      <c r="AR12" s="292">
        <f ca="1" t="shared" si="1"/>
        <v>42</v>
      </c>
      <c r="AS12" s="292">
        <f ca="1" t="shared" si="1"/>
        <v>37</v>
      </c>
      <c r="AT12" s="292">
        <f ca="1" t="shared" si="1"/>
        <v>33</v>
      </c>
      <c r="AU12" s="292">
        <f ca="1" t="shared" si="1"/>
        <v>21</v>
      </c>
      <c r="AV12" s="1">
        <v>11</v>
      </c>
      <c r="AW12" s="10">
        <f t="shared" si="2"/>
        <v>16</v>
      </c>
      <c r="AX12" s="10">
        <f t="shared" si="3"/>
        <v>22</v>
      </c>
      <c r="AY12" s="10">
        <f t="shared" si="4"/>
        <v>17</v>
      </c>
      <c r="AZ12" s="10">
        <f t="shared" si="5"/>
        <v>13</v>
      </c>
      <c r="BA12" s="10">
        <f t="shared" si="6"/>
        <v>1</v>
      </c>
      <c r="BB12" s="1">
        <v>11</v>
      </c>
      <c r="BC12" s="146">
        <f t="shared" si="12"/>
        <v>1</v>
      </c>
      <c r="BD12" s="146">
        <f t="shared" si="7"/>
        <v>1</v>
      </c>
      <c r="BE12" s="146">
        <f t="shared" si="8"/>
        <v>1</v>
      </c>
      <c r="BF12" s="146">
        <f t="shared" si="9"/>
        <v>1</v>
      </c>
      <c r="BG12" s="146">
        <f t="shared" si="10"/>
        <v>1</v>
      </c>
      <c r="BH12" s="144"/>
      <c r="BI12" s="305" t="s">
        <v>363</v>
      </c>
      <c r="BJ12" s="146">
        <f>SMALL(AQ2:AU21,51)</f>
        <v>30</v>
      </c>
      <c r="BK12" s="146">
        <f>SMALL(AQ2:AU21,52)</f>
        <v>30</v>
      </c>
      <c r="BL12" s="146">
        <f>SMALL(AQ2:AU21,53)</f>
        <v>31</v>
      </c>
      <c r="BM12" s="146">
        <f>SMALL(AQ2:AU21,54)</f>
        <v>31</v>
      </c>
      <c r="BN12" s="146">
        <f>SMALL(AQ2:AU21,55)</f>
        <v>31</v>
      </c>
      <c r="BO12" s="144"/>
      <c r="BP12" s="146">
        <f>MEDIAN(AQ2:AU21)</f>
        <v>30</v>
      </c>
      <c r="BQ12" s="144"/>
      <c r="BR12" s="398"/>
      <c r="BS12" s="398"/>
      <c r="BT12" s="405"/>
      <c r="BU12" s="405"/>
      <c r="BV12" s="398"/>
      <c r="BW12" s="9"/>
      <c r="BX12" s="9"/>
      <c r="BY12" s="9"/>
      <c r="BZ12" s="9"/>
      <c r="CA12" s="9"/>
      <c r="CB12" s="385"/>
    </row>
    <row r="13" spans="3:80" ht="16.5" thickBot="1">
      <c r="C13" s="291" t="s">
        <v>309</v>
      </c>
      <c r="D13" s="292">
        <v>10</v>
      </c>
      <c r="E13" s="382" t="s">
        <v>314</v>
      </c>
      <c r="F13" s="308"/>
      <c r="G13" s="308"/>
      <c r="H13" s="308"/>
      <c r="I13" s="405"/>
      <c r="J13" s="405"/>
      <c r="K13" s="398"/>
      <c r="L13" s="308"/>
      <c r="M13" s="308"/>
      <c r="N13" s="385"/>
      <c r="O13" s="414">
        <v>11</v>
      </c>
      <c r="P13" s="379">
        <f ca="1" t="shared" si="11"/>
        <v>9</v>
      </c>
      <c r="Q13" s="379">
        <f ca="1" t="shared" si="11"/>
        <v>2</v>
      </c>
      <c r="R13" s="262">
        <f aca="true" t="shared" si="15" ref="R13:R32">Q13-P13</f>
        <v>-7</v>
      </c>
      <c r="S13" s="10">
        <f aca="true" t="shared" si="16" ref="S13:S32">IF(R13&lt;0,-1,IF(R13=0,0,IF(R13&gt;0,1)))</f>
        <v>-1</v>
      </c>
      <c r="T13" s="9"/>
      <c r="U13" s="10">
        <f>SMALL(R3:R40,11)</f>
        <v>-2</v>
      </c>
      <c r="V13" s="308"/>
      <c r="W13" s="308"/>
      <c r="X13" s="398"/>
      <c r="Y13" s="405"/>
      <c r="Z13" s="405"/>
      <c r="AA13" s="398"/>
      <c r="AB13" s="9"/>
      <c r="AC13" s="9"/>
      <c r="AD13" s="9"/>
      <c r="AE13" s="9"/>
      <c r="AF13" s="9"/>
      <c r="AG13" s="385"/>
      <c r="AH13" s="308"/>
      <c r="AI13" s="308"/>
      <c r="AJ13" s="308"/>
      <c r="AK13" s="308"/>
      <c r="AL13" s="308"/>
      <c r="AM13" s="308"/>
      <c r="AN13" s="308"/>
      <c r="AO13" s="385"/>
      <c r="AP13" s="1">
        <v>12</v>
      </c>
      <c r="AQ13" s="292">
        <f ca="1" t="shared" si="0"/>
        <v>23</v>
      </c>
      <c r="AR13" s="292">
        <f ca="1" t="shared" si="1"/>
        <v>27</v>
      </c>
      <c r="AS13" s="292">
        <f ca="1" t="shared" si="1"/>
        <v>15</v>
      </c>
      <c r="AT13" s="292">
        <f ca="1" t="shared" si="1"/>
        <v>23</v>
      </c>
      <c r="AU13" s="292">
        <f ca="1" t="shared" si="1"/>
        <v>20</v>
      </c>
      <c r="AV13" s="1">
        <v>12</v>
      </c>
      <c r="AW13" s="10">
        <f t="shared" si="2"/>
        <v>3</v>
      </c>
      <c r="AX13" s="10">
        <f t="shared" si="3"/>
        <v>7</v>
      </c>
      <c r="AY13" s="10">
        <f t="shared" si="4"/>
        <v>-5</v>
      </c>
      <c r="AZ13" s="10">
        <f t="shared" si="5"/>
        <v>3</v>
      </c>
      <c r="BA13" s="10">
        <f t="shared" si="6"/>
        <v>0</v>
      </c>
      <c r="BB13" s="1">
        <v>12</v>
      </c>
      <c r="BC13" s="146">
        <f t="shared" si="12"/>
        <v>1</v>
      </c>
      <c r="BD13" s="146">
        <f t="shared" si="7"/>
        <v>1</v>
      </c>
      <c r="BE13" s="146">
        <f t="shared" si="8"/>
        <v>-1</v>
      </c>
      <c r="BF13" s="146">
        <f t="shared" si="9"/>
        <v>1</v>
      </c>
      <c r="BG13" s="146">
        <f t="shared" si="10"/>
        <v>0</v>
      </c>
      <c r="BH13" s="144"/>
      <c r="BI13" s="305" t="s">
        <v>364</v>
      </c>
      <c r="BJ13" s="146">
        <f>SMALL(AQ2:AU21,56)</f>
        <v>31</v>
      </c>
      <c r="BK13" s="146">
        <f>SMALL(AQ2:AU21,57)</f>
        <v>31</v>
      </c>
      <c r="BL13" s="146">
        <f>SMALL(AQ2:AU21,58)</f>
        <v>32</v>
      </c>
      <c r="BM13" s="146">
        <f>SMALL(AQ2:AU21,59)</f>
        <v>33</v>
      </c>
      <c r="BN13" s="146">
        <f>SMALL(AQ2:AU21,60)</f>
        <v>33</v>
      </c>
      <c r="BO13" s="144"/>
      <c r="BP13" s="144"/>
      <c r="BQ13" s="144"/>
      <c r="BR13" s="398"/>
      <c r="BS13" s="398"/>
      <c r="BT13" s="405"/>
      <c r="BU13" s="405"/>
      <c r="BV13" s="398"/>
      <c r="BW13" s="9"/>
      <c r="BX13" s="9"/>
      <c r="BY13" s="9"/>
      <c r="BZ13" s="9"/>
      <c r="CA13" s="9"/>
      <c r="CB13" s="385"/>
    </row>
    <row r="14" spans="2:80" ht="16.5" thickBot="1">
      <c r="B14" s="1">
        <v>10</v>
      </c>
      <c r="C14" s="377">
        <f aca="true" t="shared" si="17" ref="C14:G23">C2-median25</f>
        <v>-8</v>
      </c>
      <c r="D14" s="377">
        <f t="shared" si="17"/>
        <v>-4</v>
      </c>
      <c r="E14" s="377">
        <f t="shared" si="17"/>
        <v>-5</v>
      </c>
      <c r="F14" s="377">
        <f t="shared" si="17"/>
        <v>10</v>
      </c>
      <c r="G14" s="377">
        <f t="shared" si="17"/>
        <v>7</v>
      </c>
      <c r="H14" s="308" t="s">
        <v>373</v>
      </c>
      <c r="I14" s="405"/>
      <c r="J14" s="405"/>
      <c r="K14" s="398"/>
      <c r="L14" s="308"/>
      <c r="M14" s="308"/>
      <c r="N14" s="385"/>
      <c r="O14" s="414">
        <v>12</v>
      </c>
      <c r="P14" s="379">
        <f ca="1" t="shared" si="11"/>
        <v>10</v>
      </c>
      <c r="Q14" s="379">
        <f ca="1" t="shared" si="11"/>
        <v>3</v>
      </c>
      <c r="R14" s="262">
        <f t="shared" si="15"/>
        <v>-7</v>
      </c>
      <c r="S14" s="10">
        <f t="shared" si="16"/>
        <v>-1</v>
      </c>
      <c r="T14" s="9"/>
      <c r="U14" s="10">
        <f>SMALL(R3:R40,12)</f>
        <v>-2</v>
      </c>
      <c r="V14" s="308"/>
      <c r="W14" s="308"/>
      <c r="X14" s="399"/>
      <c r="Y14" s="405"/>
      <c r="Z14" s="405"/>
      <c r="AA14" s="398"/>
      <c r="AB14" s="9"/>
      <c r="AC14" s="9"/>
      <c r="AD14" s="9"/>
      <c r="AE14" s="9"/>
      <c r="AF14" s="9"/>
      <c r="AG14" s="385"/>
      <c r="AH14" s="308"/>
      <c r="AI14" s="308"/>
      <c r="AJ14" s="308"/>
      <c r="AK14" s="308"/>
      <c r="AL14" s="308"/>
      <c r="AM14" s="308"/>
      <c r="AN14" s="308"/>
      <c r="AO14" s="385"/>
      <c r="AP14" s="1">
        <v>13</v>
      </c>
      <c r="AQ14" s="292">
        <f ca="1" t="shared" si="0"/>
        <v>30</v>
      </c>
      <c r="AR14" s="292">
        <f ca="1" t="shared" si="1"/>
        <v>44</v>
      </c>
      <c r="AS14" s="292">
        <f ca="1" t="shared" si="1"/>
        <v>29</v>
      </c>
      <c r="AT14" s="292">
        <f ca="1" t="shared" si="1"/>
        <v>40</v>
      </c>
      <c r="AU14" s="292">
        <f ca="1" t="shared" si="1"/>
        <v>45</v>
      </c>
      <c r="AV14" s="1">
        <v>13</v>
      </c>
      <c r="AW14" s="10">
        <f t="shared" si="2"/>
        <v>10</v>
      </c>
      <c r="AX14" s="10">
        <f t="shared" si="3"/>
        <v>24</v>
      </c>
      <c r="AY14" s="10">
        <f t="shared" si="4"/>
        <v>9</v>
      </c>
      <c r="AZ14" s="10">
        <f t="shared" si="5"/>
        <v>20</v>
      </c>
      <c r="BA14" s="10">
        <f t="shared" si="6"/>
        <v>25</v>
      </c>
      <c r="BB14" s="1">
        <v>13</v>
      </c>
      <c r="BC14" s="146">
        <f t="shared" si="12"/>
        <v>1</v>
      </c>
      <c r="BD14" s="146">
        <f t="shared" si="7"/>
        <v>1</v>
      </c>
      <c r="BE14" s="146">
        <f t="shared" si="8"/>
        <v>1</v>
      </c>
      <c r="BF14" s="146">
        <f t="shared" si="9"/>
        <v>1</v>
      </c>
      <c r="BG14" s="146">
        <f t="shared" si="10"/>
        <v>1</v>
      </c>
      <c r="BH14" s="144"/>
      <c r="BI14" s="305" t="s">
        <v>365</v>
      </c>
      <c r="BJ14" s="146">
        <f>SMALL(AQ2:AU21,61)</f>
        <v>33</v>
      </c>
      <c r="BK14" s="146">
        <f>SMALL(AQ2:AU21,62)</f>
        <v>34</v>
      </c>
      <c r="BL14" s="146">
        <f>SMALL(AQ2:AU21,63)</f>
        <v>35</v>
      </c>
      <c r="BM14" s="146">
        <f>SMALL(AQ2:AU21,64)</f>
        <v>35</v>
      </c>
      <c r="BN14" s="146">
        <f>SMALL(AQ2:AU21,65)</f>
        <v>36</v>
      </c>
      <c r="BO14" s="144"/>
      <c r="BP14" s="144"/>
      <c r="BQ14" s="144"/>
      <c r="BR14" s="398"/>
      <c r="BS14" s="399"/>
      <c r="BT14" s="405"/>
      <c r="BU14" s="405"/>
      <c r="BV14" s="398"/>
      <c r="BW14" s="9"/>
      <c r="BX14" s="9"/>
      <c r="BY14" s="9"/>
      <c r="BZ14" s="9"/>
      <c r="CA14" s="9"/>
      <c r="CB14" s="385"/>
    </row>
    <row r="15" spans="2:80" ht="16.5" thickBot="1">
      <c r="B15" s="1">
        <v>9</v>
      </c>
      <c r="C15" s="377">
        <f t="shared" si="17"/>
        <v>-2</v>
      </c>
      <c r="D15" s="377">
        <f t="shared" si="17"/>
        <v>-8</v>
      </c>
      <c r="E15" s="377">
        <f t="shared" si="17"/>
        <v>3</v>
      </c>
      <c r="F15" s="377">
        <f t="shared" si="17"/>
        <v>-9</v>
      </c>
      <c r="G15" s="377">
        <f t="shared" si="17"/>
        <v>10</v>
      </c>
      <c r="H15" s="384" t="s">
        <v>376</v>
      </c>
      <c r="I15" s="405"/>
      <c r="J15" s="405"/>
      <c r="K15" s="400"/>
      <c r="L15" s="384"/>
      <c r="M15" s="384"/>
      <c r="N15" s="386"/>
      <c r="O15" s="414">
        <v>13</v>
      </c>
      <c r="P15" s="379">
        <f ca="1" t="shared" si="11"/>
        <v>10</v>
      </c>
      <c r="Q15" s="379">
        <f ca="1" t="shared" si="11"/>
        <v>6</v>
      </c>
      <c r="R15" s="262">
        <f t="shared" si="15"/>
        <v>-4</v>
      </c>
      <c r="S15" s="10">
        <f t="shared" si="16"/>
        <v>-1</v>
      </c>
      <c r="T15" s="9"/>
      <c r="U15" s="10">
        <f>SMALL(R3:R40,13)</f>
        <v>-2</v>
      </c>
      <c r="V15" s="308"/>
      <c r="W15" s="308"/>
      <c r="X15" s="399"/>
      <c r="Y15" s="405"/>
      <c r="Z15" s="405"/>
      <c r="AA15" s="400"/>
      <c r="AB15" s="413"/>
      <c r="AC15" s="413"/>
      <c r="AD15" s="413"/>
      <c r="AE15" s="413"/>
      <c r="AF15" s="413"/>
      <c r="AG15" s="386"/>
      <c r="AH15" s="384"/>
      <c r="AI15" s="384"/>
      <c r="AJ15" s="384"/>
      <c r="AK15" s="384"/>
      <c r="AL15" s="384"/>
      <c r="AM15" s="384"/>
      <c r="AN15" s="384"/>
      <c r="AO15" s="386"/>
      <c r="AP15" s="1">
        <v>14</v>
      </c>
      <c r="AQ15" s="292">
        <f ca="1" t="shared" si="0"/>
        <v>37</v>
      </c>
      <c r="AR15" s="292">
        <f ca="1" t="shared" si="1"/>
        <v>41</v>
      </c>
      <c r="AS15" s="292">
        <f ca="1" t="shared" si="1"/>
        <v>17</v>
      </c>
      <c r="AT15" s="292">
        <f ca="1" t="shared" si="1"/>
        <v>28</v>
      </c>
      <c r="AU15" s="292">
        <f ca="1" t="shared" si="1"/>
        <v>31</v>
      </c>
      <c r="AV15" s="1">
        <v>14</v>
      </c>
      <c r="AW15" s="10">
        <f t="shared" si="2"/>
        <v>17</v>
      </c>
      <c r="AX15" s="10">
        <f t="shared" si="3"/>
        <v>21</v>
      </c>
      <c r="AY15" s="10">
        <f t="shared" si="4"/>
        <v>-3</v>
      </c>
      <c r="AZ15" s="10">
        <f t="shared" si="5"/>
        <v>8</v>
      </c>
      <c r="BA15" s="10">
        <f t="shared" si="6"/>
        <v>11</v>
      </c>
      <c r="BB15" s="1">
        <v>14</v>
      </c>
      <c r="BC15" s="146">
        <f t="shared" si="12"/>
        <v>1</v>
      </c>
      <c r="BD15" s="146">
        <f t="shared" si="7"/>
        <v>1</v>
      </c>
      <c r="BE15" s="146">
        <f t="shared" si="8"/>
        <v>-1</v>
      </c>
      <c r="BF15" s="146">
        <f t="shared" si="9"/>
        <v>1</v>
      </c>
      <c r="BG15" s="146">
        <f t="shared" si="10"/>
        <v>1</v>
      </c>
      <c r="BH15" s="144"/>
      <c r="BI15" s="305" t="s">
        <v>366</v>
      </c>
      <c r="BJ15" s="146">
        <f>SMALL(AQ2:AU21,66)</f>
        <v>36</v>
      </c>
      <c r="BK15" s="146">
        <f>SMALL(AQ2:AU21,67)</f>
        <v>36</v>
      </c>
      <c r="BL15" s="146">
        <f>SMALL(AQ2:AU21,68)</f>
        <v>36</v>
      </c>
      <c r="BM15" s="146">
        <f>SMALL(AQ2:AU21,69)</f>
        <v>37</v>
      </c>
      <c r="BN15" s="146">
        <f>SMALL(AQ2:AU21,70)</f>
        <v>37</v>
      </c>
      <c r="BO15" s="144"/>
      <c r="BP15" s="144"/>
      <c r="BQ15" s="144"/>
      <c r="BR15" s="398"/>
      <c r="BS15" s="399"/>
      <c r="BT15" s="405"/>
      <c r="BU15" s="405"/>
      <c r="BV15" s="400"/>
      <c r="BW15" s="413"/>
      <c r="BX15" s="413"/>
      <c r="BY15" s="413"/>
      <c r="BZ15" s="413"/>
      <c r="CA15" s="413"/>
      <c r="CB15" s="386"/>
    </row>
    <row r="16" spans="2:80" ht="16.5" thickBot="1">
      <c r="B16" s="1">
        <v>8</v>
      </c>
      <c r="C16" s="377">
        <f t="shared" si="17"/>
        <v>5</v>
      </c>
      <c r="D16" s="377">
        <f t="shared" si="17"/>
        <v>2</v>
      </c>
      <c r="E16" s="377">
        <f t="shared" si="17"/>
        <v>9</v>
      </c>
      <c r="F16" s="377">
        <f t="shared" si="17"/>
        <v>-4</v>
      </c>
      <c r="G16" s="377">
        <f t="shared" si="17"/>
        <v>6</v>
      </c>
      <c r="H16" s="384"/>
      <c r="I16" s="405"/>
      <c r="J16" s="405"/>
      <c r="K16" s="400"/>
      <c r="L16" s="384"/>
      <c r="M16" s="384"/>
      <c r="N16" s="386"/>
      <c r="O16" s="414">
        <v>14</v>
      </c>
      <c r="P16" s="379">
        <f ca="1" t="shared" si="11"/>
        <v>2</v>
      </c>
      <c r="Q16" s="379">
        <f ca="1" t="shared" si="11"/>
        <v>9</v>
      </c>
      <c r="R16" s="262">
        <f t="shared" si="15"/>
        <v>7</v>
      </c>
      <c r="S16" s="10">
        <f t="shared" si="16"/>
        <v>1</v>
      </c>
      <c r="T16" s="9"/>
      <c r="U16" s="10">
        <f>SMALL(R3:R40,14)</f>
        <v>-1</v>
      </c>
      <c r="V16" s="308"/>
      <c r="W16" s="308"/>
      <c r="X16" s="399"/>
      <c r="Y16" s="405"/>
      <c r="Z16" s="405"/>
      <c r="AA16" s="400"/>
      <c r="AB16" s="413"/>
      <c r="AC16" s="413"/>
      <c r="AD16" s="413"/>
      <c r="AE16" s="413"/>
      <c r="AF16" s="413"/>
      <c r="AG16" s="386"/>
      <c r="AH16" s="384"/>
      <c r="AI16" s="384"/>
      <c r="AJ16" s="384"/>
      <c r="AK16" s="384"/>
      <c r="AL16" s="384"/>
      <c r="AM16" s="384"/>
      <c r="AN16" s="384"/>
      <c r="AO16" s="386"/>
      <c r="AP16" s="1">
        <v>15</v>
      </c>
      <c r="AQ16" s="292">
        <f ca="1" t="shared" si="0"/>
        <v>33</v>
      </c>
      <c r="AR16" s="292">
        <f ca="1" t="shared" si="1"/>
        <v>29</v>
      </c>
      <c r="AS16" s="292">
        <f ca="1" t="shared" si="1"/>
        <v>25</v>
      </c>
      <c r="AT16" s="292">
        <f ca="1" t="shared" si="1"/>
        <v>29</v>
      </c>
      <c r="AU16" s="292">
        <f ca="1" t="shared" si="1"/>
        <v>44</v>
      </c>
      <c r="AV16" s="1">
        <v>15</v>
      </c>
      <c r="AW16" s="10">
        <f t="shared" si="2"/>
        <v>13</v>
      </c>
      <c r="AX16" s="10">
        <f t="shared" si="3"/>
        <v>9</v>
      </c>
      <c r="AY16" s="10">
        <f t="shared" si="4"/>
        <v>5</v>
      </c>
      <c r="AZ16" s="10">
        <f t="shared" si="5"/>
        <v>9</v>
      </c>
      <c r="BA16" s="10">
        <f t="shared" si="6"/>
        <v>24</v>
      </c>
      <c r="BB16" s="1">
        <v>15</v>
      </c>
      <c r="BC16" s="146">
        <f t="shared" si="12"/>
        <v>1</v>
      </c>
      <c r="BD16" s="146">
        <f t="shared" si="7"/>
        <v>1</v>
      </c>
      <c r="BE16" s="146">
        <f t="shared" si="8"/>
        <v>1</v>
      </c>
      <c r="BF16" s="146">
        <f t="shared" si="9"/>
        <v>1</v>
      </c>
      <c r="BG16" s="146">
        <f t="shared" si="10"/>
        <v>1</v>
      </c>
      <c r="BH16" s="144"/>
      <c r="BI16" s="305" t="s">
        <v>367</v>
      </c>
      <c r="BJ16" s="146">
        <f>SMALL(AQ2:AU21,71)</f>
        <v>37</v>
      </c>
      <c r="BK16" s="146">
        <f>SMALL(AQ2:AU21,72)</f>
        <v>37</v>
      </c>
      <c r="BL16" s="146">
        <f>SMALL(AQ2:AU21,73)</f>
        <v>37</v>
      </c>
      <c r="BM16" s="146">
        <f>SMALL(AQ2:AU21,74)</f>
        <v>38</v>
      </c>
      <c r="BN16" s="146">
        <f>SMALL(AQ2:AU21,75)</f>
        <v>39</v>
      </c>
      <c r="BO16" s="144"/>
      <c r="BP16" s="144"/>
      <c r="BQ16" s="144"/>
      <c r="BR16" s="398"/>
      <c r="BS16" s="399"/>
      <c r="BT16" s="405"/>
      <c r="BU16" s="405"/>
      <c r="BV16" s="400"/>
      <c r="BW16" s="413"/>
      <c r="BX16" s="413"/>
      <c r="BY16" s="413"/>
      <c r="BZ16" s="413"/>
      <c r="CA16" s="413"/>
      <c r="CB16" s="386"/>
    </row>
    <row r="17" spans="2:80" ht="16.5" thickBot="1">
      <c r="B17" s="1">
        <v>7</v>
      </c>
      <c r="C17" s="377">
        <f t="shared" si="17"/>
        <v>1</v>
      </c>
      <c r="D17" s="377">
        <f t="shared" si="17"/>
        <v>-2</v>
      </c>
      <c r="E17" s="377">
        <f t="shared" si="17"/>
        <v>4</v>
      </c>
      <c r="F17" s="377">
        <f t="shared" si="17"/>
        <v>3</v>
      </c>
      <c r="G17" s="377">
        <f t="shared" si="17"/>
        <v>-7</v>
      </c>
      <c r="H17" s="384"/>
      <c r="I17" s="405"/>
      <c r="J17" s="405"/>
      <c r="K17" s="400"/>
      <c r="L17" s="384"/>
      <c r="M17" s="384"/>
      <c r="N17" s="386"/>
      <c r="O17" s="414">
        <v>15</v>
      </c>
      <c r="P17" s="379">
        <f ca="1" t="shared" si="11"/>
        <v>7</v>
      </c>
      <c r="Q17" s="379">
        <f ca="1" t="shared" si="11"/>
        <v>7</v>
      </c>
      <c r="R17" s="262">
        <f t="shared" si="15"/>
        <v>0</v>
      </c>
      <c r="S17" s="10">
        <f t="shared" si="16"/>
        <v>0</v>
      </c>
      <c r="T17" s="9"/>
      <c r="U17" s="10">
        <f>SMALL(R3:R40,15)</f>
        <v>-1</v>
      </c>
      <c r="V17" s="308"/>
      <c r="W17" s="308"/>
      <c r="X17" s="398"/>
      <c r="Y17" s="405"/>
      <c r="Z17" s="405"/>
      <c r="AA17" s="400"/>
      <c r="AB17" s="413"/>
      <c r="AC17" s="413"/>
      <c r="AD17" s="413"/>
      <c r="AE17" s="413"/>
      <c r="AF17" s="413"/>
      <c r="AG17" s="386"/>
      <c r="AH17" s="384"/>
      <c r="AI17" s="384"/>
      <c r="AJ17" s="384"/>
      <c r="AK17" s="384"/>
      <c r="AL17" s="384"/>
      <c r="AM17" s="384"/>
      <c r="AN17" s="384"/>
      <c r="AO17" s="386"/>
      <c r="AP17" s="1">
        <v>16</v>
      </c>
      <c r="AQ17" s="292">
        <f ca="1" t="shared" si="0"/>
        <v>44</v>
      </c>
      <c r="AR17" s="292">
        <f ca="1" t="shared" si="1"/>
        <v>27</v>
      </c>
      <c r="AS17" s="292">
        <f ca="1" t="shared" si="1"/>
        <v>29</v>
      </c>
      <c r="AT17" s="292">
        <f ca="1" t="shared" si="1"/>
        <v>37</v>
      </c>
      <c r="AU17" s="292">
        <f ca="1" t="shared" si="1"/>
        <v>23</v>
      </c>
      <c r="AV17" s="1">
        <v>16</v>
      </c>
      <c r="AW17" s="10">
        <f t="shared" si="2"/>
        <v>24</v>
      </c>
      <c r="AX17" s="10">
        <f t="shared" si="3"/>
        <v>7</v>
      </c>
      <c r="AY17" s="10">
        <f t="shared" si="4"/>
        <v>9</v>
      </c>
      <c r="AZ17" s="10">
        <f t="shared" si="5"/>
        <v>17</v>
      </c>
      <c r="BA17" s="10">
        <f t="shared" si="6"/>
        <v>3</v>
      </c>
      <c r="BB17" s="1">
        <v>16</v>
      </c>
      <c r="BC17" s="146">
        <f t="shared" si="12"/>
        <v>1</v>
      </c>
      <c r="BD17" s="146">
        <f t="shared" si="7"/>
        <v>1</v>
      </c>
      <c r="BE17" s="146">
        <f t="shared" si="8"/>
        <v>1</v>
      </c>
      <c r="BF17" s="146">
        <f t="shared" si="9"/>
        <v>1</v>
      </c>
      <c r="BG17" s="146">
        <f t="shared" si="10"/>
        <v>1</v>
      </c>
      <c r="BH17" s="144"/>
      <c r="BI17" s="305" t="s">
        <v>368</v>
      </c>
      <c r="BJ17" s="146">
        <f>SMALL(AQ2:AU21,76)</f>
        <v>39</v>
      </c>
      <c r="BK17" s="146">
        <f>SMALL(AQ2:AU21,77)</f>
        <v>40</v>
      </c>
      <c r="BL17" s="146">
        <f>SMALL(AQ2:AU21,78)</f>
        <v>40</v>
      </c>
      <c r="BM17" s="146">
        <f>SMALL(AQ2:AU21,79)</f>
        <v>40</v>
      </c>
      <c r="BN17" s="146">
        <f>SMALL(AQ2:AU21,80)</f>
        <v>40</v>
      </c>
      <c r="BO17" s="144"/>
      <c r="BP17" s="144"/>
      <c r="BQ17" s="144"/>
      <c r="BR17" s="398"/>
      <c r="BS17" s="398"/>
      <c r="BT17" s="405"/>
      <c r="BU17" s="405"/>
      <c r="BV17" s="400"/>
      <c r="BW17" s="413"/>
      <c r="BX17" s="413"/>
      <c r="BY17" s="413"/>
      <c r="BZ17" s="413"/>
      <c r="CA17" s="413"/>
      <c r="CB17" s="386"/>
    </row>
    <row r="18" spans="2:80" ht="16.5" thickBot="1">
      <c r="B18" s="1">
        <v>6</v>
      </c>
      <c r="C18" s="377">
        <f t="shared" si="17"/>
        <v>-3</v>
      </c>
      <c r="D18" s="377">
        <f t="shared" si="17"/>
        <v>-1</v>
      </c>
      <c r="E18" s="377">
        <f t="shared" si="17"/>
        <v>2</v>
      </c>
      <c r="F18" s="377">
        <f t="shared" si="17"/>
        <v>-7</v>
      </c>
      <c r="G18" s="377">
        <f t="shared" si="17"/>
        <v>2</v>
      </c>
      <c r="H18" s="384"/>
      <c r="I18" s="403"/>
      <c r="J18" s="390"/>
      <c r="K18" s="384"/>
      <c r="L18" s="384"/>
      <c r="M18" s="384"/>
      <c r="N18" s="386"/>
      <c r="O18" s="414">
        <v>16</v>
      </c>
      <c r="P18" s="379">
        <f ca="1" t="shared" si="11"/>
        <v>6</v>
      </c>
      <c r="Q18" s="379">
        <f ca="1" t="shared" si="11"/>
        <v>8</v>
      </c>
      <c r="R18" s="262">
        <f t="shared" si="15"/>
        <v>2</v>
      </c>
      <c r="S18" s="10">
        <f t="shared" si="16"/>
        <v>1</v>
      </c>
      <c r="T18" s="9"/>
      <c r="U18" s="10">
        <f>SMALL(R3:R40,16)</f>
        <v>-1</v>
      </c>
      <c r="V18" s="308"/>
      <c r="W18" s="308"/>
      <c r="X18" s="398"/>
      <c r="Y18" s="423"/>
      <c r="Z18" s="424"/>
      <c r="AA18" s="400"/>
      <c r="AB18" s="413"/>
      <c r="AC18" s="413"/>
      <c r="AD18" s="413"/>
      <c r="AE18" s="413"/>
      <c r="AF18" s="413"/>
      <c r="AG18" s="386"/>
      <c r="AH18" s="384"/>
      <c r="AI18" s="384"/>
      <c r="AJ18" s="384"/>
      <c r="AK18" s="384"/>
      <c r="AL18" s="384"/>
      <c r="AM18" s="384"/>
      <c r="AN18" s="384"/>
      <c r="AO18" s="386"/>
      <c r="AP18" s="1">
        <v>17</v>
      </c>
      <c r="AQ18" s="292">
        <f ca="1" t="shared" si="0"/>
        <v>45</v>
      </c>
      <c r="AR18" s="292">
        <f ca="1" t="shared" si="1"/>
        <v>27</v>
      </c>
      <c r="AS18" s="292">
        <f ca="1" t="shared" si="1"/>
        <v>18</v>
      </c>
      <c r="AT18" s="292">
        <f ca="1" t="shared" si="1"/>
        <v>25</v>
      </c>
      <c r="AU18" s="292">
        <f ca="1" t="shared" si="1"/>
        <v>31</v>
      </c>
      <c r="AV18" s="1">
        <v>17</v>
      </c>
      <c r="AW18" s="10">
        <f t="shared" si="2"/>
        <v>25</v>
      </c>
      <c r="AX18" s="10">
        <f t="shared" si="3"/>
        <v>7</v>
      </c>
      <c r="AY18" s="10">
        <f t="shared" si="4"/>
        <v>-2</v>
      </c>
      <c r="AZ18" s="10">
        <f t="shared" si="5"/>
        <v>5</v>
      </c>
      <c r="BA18" s="10">
        <f t="shared" si="6"/>
        <v>11</v>
      </c>
      <c r="BB18" s="1">
        <v>17</v>
      </c>
      <c r="BC18" s="146">
        <f t="shared" si="12"/>
        <v>1</v>
      </c>
      <c r="BD18" s="146">
        <f t="shared" si="7"/>
        <v>1</v>
      </c>
      <c r="BE18" s="146">
        <f t="shared" si="8"/>
        <v>-1</v>
      </c>
      <c r="BF18" s="146">
        <f t="shared" si="9"/>
        <v>1</v>
      </c>
      <c r="BG18" s="146">
        <f t="shared" si="10"/>
        <v>1</v>
      </c>
      <c r="BH18" s="144"/>
      <c r="BI18" s="305" t="s">
        <v>369</v>
      </c>
      <c r="BJ18" s="146">
        <f>SMALL(AQ2:AU21,81)</f>
        <v>41</v>
      </c>
      <c r="BK18" s="146">
        <f>SMALL(AQ2:AU21,82)</f>
        <v>41</v>
      </c>
      <c r="BL18" s="146">
        <f>SMALL(AQ2:AU21,83)</f>
        <v>42</v>
      </c>
      <c r="BM18" s="146">
        <f>SMALL(AQ2:AU21,84)</f>
        <v>42</v>
      </c>
      <c r="BN18" s="146">
        <f>SMALL(AQ2:AU21,85)</f>
        <v>42</v>
      </c>
      <c r="BO18" s="144"/>
      <c r="BP18" s="144"/>
      <c r="BQ18" s="144"/>
      <c r="BR18" s="398"/>
      <c r="BS18" s="398"/>
      <c r="BT18" s="423"/>
      <c r="BU18" s="424"/>
      <c r="BV18" s="400"/>
      <c r="BW18" s="413"/>
      <c r="BX18" s="413"/>
      <c r="BY18" s="413"/>
      <c r="BZ18" s="413"/>
      <c r="CA18" s="413"/>
      <c r="CB18" s="386"/>
    </row>
    <row r="19" spans="2:80" ht="16.5" thickBot="1">
      <c r="B19" s="1">
        <v>5</v>
      </c>
      <c r="C19" s="377">
        <f t="shared" si="17"/>
        <v>3</v>
      </c>
      <c r="D19" s="377">
        <f t="shared" si="17"/>
        <v>1</v>
      </c>
      <c r="E19" s="377">
        <f t="shared" si="17"/>
        <v>-7</v>
      </c>
      <c r="F19" s="377">
        <f t="shared" si="17"/>
        <v>5</v>
      </c>
      <c r="G19" s="377">
        <f t="shared" si="17"/>
        <v>-9</v>
      </c>
      <c r="H19" s="384"/>
      <c r="I19" s="390"/>
      <c r="J19" s="390"/>
      <c r="K19" s="384"/>
      <c r="L19" s="384"/>
      <c r="M19" s="384"/>
      <c r="N19" s="386"/>
      <c r="O19" s="414">
        <v>17</v>
      </c>
      <c r="P19" s="379">
        <f ca="1" t="shared" si="11"/>
        <v>7</v>
      </c>
      <c r="Q19" s="379">
        <f ca="1" t="shared" si="11"/>
        <v>10</v>
      </c>
      <c r="R19" s="262">
        <f t="shared" si="15"/>
        <v>3</v>
      </c>
      <c r="S19" s="10">
        <f t="shared" si="16"/>
        <v>1</v>
      </c>
      <c r="T19" s="9"/>
      <c r="U19" s="10">
        <f>SMALL(R3:R40,17)</f>
        <v>0</v>
      </c>
      <c r="V19" s="308"/>
      <c r="W19" s="308"/>
      <c r="X19" s="398"/>
      <c r="Y19" s="424"/>
      <c r="Z19" s="424"/>
      <c r="AA19" s="400"/>
      <c r="AB19" s="413"/>
      <c r="AC19" s="413"/>
      <c r="AD19" s="413"/>
      <c r="AE19" s="413"/>
      <c r="AF19" s="413"/>
      <c r="AG19" s="386"/>
      <c r="AH19" s="384"/>
      <c r="AI19" s="384"/>
      <c r="AJ19" s="384"/>
      <c r="AK19" s="384"/>
      <c r="AL19" s="384"/>
      <c r="AM19" s="384"/>
      <c r="AN19" s="384"/>
      <c r="AO19" s="386"/>
      <c r="AP19" s="1">
        <v>18</v>
      </c>
      <c r="AQ19" s="292">
        <f ca="1" t="shared" si="0"/>
        <v>27</v>
      </c>
      <c r="AR19" s="292">
        <f ca="1" t="shared" si="1"/>
        <v>29</v>
      </c>
      <c r="AS19" s="292">
        <f ca="1" t="shared" si="1"/>
        <v>25</v>
      </c>
      <c r="AT19" s="292">
        <f ca="1" t="shared" si="1"/>
        <v>20</v>
      </c>
      <c r="AU19" s="292">
        <f ca="1" t="shared" si="1"/>
        <v>38</v>
      </c>
      <c r="AV19" s="1">
        <v>18</v>
      </c>
      <c r="AW19" s="10">
        <f t="shared" si="2"/>
        <v>7</v>
      </c>
      <c r="AX19" s="10">
        <f t="shared" si="3"/>
        <v>9</v>
      </c>
      <c r="AY19" s="10">
        <f t="shared" si="4"/>
        <v>5</v>
      </c>
      <c r="AZ19" s="10">
        <f t="shared" si="5"/>
        <v>0</v>
      </c>
      <c r="BA19" s="10">
        <f t="shared" si="6"/>
        <v>18</v>
      </c>
      <c r="BB19" s="1">
        <v>18</v>
      </c>
      <c r="BC19" s="146">
        <f t="shared" si="12"/>
        <v>1</v>
      </c>
      <c r="BD19" s="146">
        <f t="shared" si="7"/>
        <v>1</v>
      </c>
      <c r="BE19" s="146">
        <f t="shared" si="8"/>
        <v>1</v>
      </c>
      <c r="BF19" s="146">
        <f t="shared" si="9"/>
        <v>0</v>
      </c>
      <c r="BG19" s="146">
        <f t="shared" si="10"/>
        <v>1</v>
      </c>
      <c r="BH19" s="144"/>
      <c r="BI19" s="305" t="s">
        <v>370</v>
      </c>
      <c r="BJ19" s="146">
        <f>SMALL(AQ2:AU21,86)</f>
        <v>43</v>
      </c>
      <c r="BK19" s="146">
        <f>SMALL(AQ2:AU21,87)</f>
        <v>43</v>
      </c>
      <c r="BL19" s="146">
        <f>SMALL(AQ2:AU21,88)</f>
        <v>44</v>
      </c>
      <c r="BM19" s="146">
        <f>SMALL(AQ2:AU21,89)</f>
        <v>44</v>
      </c>
      <c r="BN19" s="146">
        <f>SMALL(AQ2:AU21,90)</f>
        <v>44</v>
      </c>
      <c r="BO19" s="144"/>
      <c r="BP19" s="144"/>
      <c r="BQ19" s="144"/>
      <c r="BR19" s="398"/>
      <c r="BS19" s="398"/>
      <c r="BT19" s="424"/>
      <c r="BU19" s="424"/>
      <c r="BV19" s="400"/>
      <c r="BW19" s="413"/>
      <c r="BX19" s="413"/>
      <c r="BY19" s="413"/>
      <c r="BZ19" s="413"/>
      <c r="CA19" s="413"/>
      <c r="CB19" s="386"/>
    </row>
    <row r="20" spans="2:80" ht="16.5" thickBot="1">
      <c r="B20" s="1">
        <v>4</v>
      </c>
      <c r="C20" s="377">
        <f t="shared" si="17"/>
        <v>-8</v>
      </c>
      <c r="D20" s="377">
        <f t="shared" si="17"/>
        <v>0</v>
      </c>
      <c r="E20" s="377">
        <f t="shared" si="17"/>
        <v>2</v>
      </c>
      <c r="F20" s="377">
        <f t="shared" si="17"/>
        <v>4</v>
      </c>
      <c r="G20" s="377">
        <f t="shared" si="17"/>
        <v>10</v>
      </c>
      <c r="H20" s="308"/>
      <c r="I20" s="306"/>
      <c r="J20" s="308"/>
      <c r="K20" s="308"/>
      <c r="L20" s="308"/>
      <c r="M20" s="308"/>
      <c r="N20" s="385"/>
      <c r="O20" s="414">
        <v>18</v>
      </c>
      <c r="P20" s="379">
        <f ca="1" t="shared" si="11"/>
        <v>2</v>
      </c>
      <c r="Q20" s="379">
        <f ca="1" t="shared" si="11"/>
        <v>9</v>
      </c>
      <c r="R20" s="262">
        <f t="shared" si="15"/>
        <v>7</v>
      </c>
      <c r="S20" s="10">
        <f t="shared" si="16"/>
        <v>1</v>
      </c>
      <c r="T20" s="9"/>
      <c r="U20" s="10">
        <f>SMALL(R3:R40,18)</f>
        <v>0</v>
      </c>
      <c r="V20" s="308"/>
      <c r="W20" s="308"/>
      <c r="X20" s="398"/>
      <c r="Y20" s="425"/>
      <c r="Z20" s="398"/>
      <c r="AA20" s="398"/>
      <c r="AB20" s="9"/>
      <c r="AC20" s="9"/>
      <c r="AD20" s="9"/>
      <c r="AE20" s="9"/>
      <c r="AF20" s="9"/>
      <c r="AG20" s="385"/>
      <c r="AH20" s="308"/>
      <c r="AI20" s="308"/>
      <c r="AJ20" s="308"/>
      <c r="AK20" s="308"/>
      <c r="AL20" s="308"/>
      <c r="AM20" s="308"/>
      <c r="AN20" s="308"/>
      <c r="AO20" s="385"/>
      <c r="AP20" s="1">
        <v>19</v>
      </c>
      <c r="AQ20" s="292">
        <f ca="1" t="shared" si="0"/>
        <v>44</v>
      </c>
      <c r="AR20" s="292">
        <f ca="1" t="shared" si="1"/>
        <v>41</v>
      </c>
      <c r="AS20" s="292">
        <f ca="1" t="shared" si="1"/>
        <v>33</v>
      </c>
      <c r="AT20" s="292">
        <f ca="1" t="shared" si="1"/>
        <v>19</v>
      </c>
      <c r="AU20" s="292">
        <f ca="1" t="shared" si="1"/>
        <v>30</v>
      </c>
      <c r="AV20" s="1">
        <v>19</v>
      </c>
      <c r="AW20" s="10">
        <f t="shared" si="2"/>
        <v>24</v>
      </c>
      <c r="AX20" s="10">
        <f t="shared" si="3"/>
        <v>21</v>
      </c>
      <c r="AY20" s="10">
        <f t="shared" si="4"/>
        <v>13</v>
      </c>
      <c r="AZ20" s="10">
        <f t="shared" si="5"/>
        <v>-1</v>
      </c>
      <c r="BA20" s="10">
        <f t="shared" si="6"/>
        <v>10</v>
      </c>
      <c r="BB20" s="1">
        <v>19</v>
      </c>
      <c r="BC20" s="146">
        <f t="shared" si="12"/>
        <v>1</v>
      </c>
      <c r="BD20" s="146">
        <f t="shared" si="7"/>
        <v>1</v>
      </c>
      <c r="BE20" s="146">
        <f t="shared" si="8"/>
        <v>1</v>
      </c>
      <c r="BF20" s="146">
        <f t="shared" si="9"/>
        <v>-1</v>
      </c>
      <c r="BG20" s="146">
        <f t="shared" si="10"/>
        <v>1</v>
      </c>
      <c r="BH20" s="144"/>
      <c r="BI20" s="305" t="s">
        <v>371</v>
      </c>
      <c r="BJ20" s="146">
        <f>SMALL(AQ2:AU21,91)</f>
        <v>44</v>
      </c>
      <c r="BK20" s="146">
        <f>SMALL(AQ2:AU21,92)</f>
        <v>44</v>
      </c>
      <c r="BL20" s="146">
        <f>SMALL(AQ2:AU21,93)</f>
        <v>44</v>
      </c>
      <c r="BM20" s="146">
        <f>SMALL(AQ2:AU21,94)</f>
        <v>44</v>
      </c>
      <c r="BN20" s="146">
        <f>SMALL(AQ2:AU21,95)</f>
        <v>44</v>
      </c>
      <c r="BO20" s="144"/>
      <c r="BP20" s="144"/>
      <c r="BQ20" s="144"/>
      <c r="BR20" s="398"/>
      <c r="BS20" s="398"/>
      <c r="BT20" s="425"/>
      <c r="BU20" s="398"/>
      <c r="BV20" s="398"/>
      <c r="BW20" s="9"/>
      <c r="BX20" s="9"/>
      <c r="BY20" s="9"/>
      <c r="BZ20" s="9"/>
      <c r="CA20" s="9"/>
      <c r="CB20" s="385"/>
    </row>
    <row r="21" spans="1:80" ht="16.5" thickBot="1">
      <c r="A21" s="306"/>
      <c r="B21" s="1">
        <v>3</v>
      </c>
      <c r="C21" s="377">
        <f t="shared" si="17"/>
        <v>1</v>
      </c>
      <c r="D21" s="377">
        <f t="shared" si="17"/>
        <v>-9</v>
      </c>
      <c r="E21" s="377">
        <f t="shared" si="17"/>
        <v>-1</v>
      </c>
      <c r="F21" s="377">
        <f t="shared" si="17"/>
        <v>-7</v>
      </c>
      <c r="G21" s="377">
        <f t="shared" si="17"/>
        <v>-1</v>
      </c>
      <c r="I21" s="306"/>
      <c r="J21" s="306"/>
      <c r="O21" s="414">
        <v>19</v>
      </c>
      <c r="P21" s="379">
        <f ca="1" t="shared" si="11"/>
        <v>7</v>
      </c>
      <c r="Q21" s="379">
        <f ca="1" t="shared" si="11"/>
        <v>8</v>
      </c>
      <c r="R21" s="262">
        <f t="shared" si="15"/>
        <v>1</v>
      </c>
      <c r="S21" s="10">
        <f t="shared" si="16"/>
        <v>1</v>
      </c>
      <c r="T21" s="9"/>
      <c r="U21" s="10">
        <f>SMALL(R3:R40,19)</f>
        <v>0</v>
      </c>
      <c r="V21" s="308"/>
      <c r="W21" s="308"/>
      <c r="X21" s="398"/>
      <c r="Y21" s="425"/>
      <c r="Z21" s="425"/>
      <c r="AA21" s="399"/>
      <c r="AB21" s="353"/>
      <c r="AP21" s="1">
        <v>20</v>
      </c>
      <c r="AQ21" s="292">
        <f ca="1" t="shared" si="0"/>
        <v>27</v>
      </c>
      <c r="AR21" s="292">
        <f ca="1" t="shared" si="1"/>
        <v>30</v>
      </c>
      <c r="AS21" s="292">
        <f ca="1" t="shared" si="1"/>
        <v>19</v>
      </c>
      <c r="AT21" s="292">
        <f ca="1" t="shared" si="1"/>
        <v>22</v>
      </c>
      <c r="AU21" s="292">
        <f ca="1" t="shared" si="1"/>
        <v>44</v>
      </c>
      <c r="AV21" s="1">
        <v>20</v>
      </c>
      <c r="AW21" s="10">
        <f t="shared" si="2"/>
        <v>7</v>
      </c>
      <c r="AX21" s="10">
        <f t="shared" si="3"/>
        <v>10</v>
      </c>
      <c r="AY21" s="10">
        <f t="shared" si="4"/>
        <v>-1</v>
      </c>
      <c r="AZ21" s="10">
        <f t="shared" si="5"/>
        <v>2</v>
      </c>
      <c r="BA21" s="10">
        <f t="shared" si="6"/>
        <v>24</v>
      </c>
      <c r="BB21" s="1">
        <v>20</v>
      </c>
      <c r="BC21" s="146">
        <f t="shared" si="12"/>
        <v>1</v>
      </c>
      <c r="BD21" s="146">
        <f t="shared" si="7"/>
        <v>1</v>
      </c>
      <c r="BE21" s="146">
        <f t="shared" si="8"/>
        <v>-1</v>
      </c>
      <c r="BF21" s="146">
        <f t="shared" si="9"/>
        <v>1</v>
      </c>
      <c r="BG21" s="146">
        <f t="shared" si="10"/>
        <v>1</v>
      </c>
      <c r="BH21" s="144"/>
      <c r="BI21" s="305" t="s">
        <v>372</v>
      </c>
      <c r="BJ21" s="146">
        <f>SMALL(AQ2:AU21,96)</f>
        <v>44</v>
      </c>
      <c r="BK21" s="146">
        <f>SMALL(AQ2:AU21,97)</f>
        <v>45</v>
      </c>
      <c r="BL21" s="146">
        <f>SMALL(AQ2:AU21,98)</f>
        <v>45</v>
      </c>
      <c r="BM21" s="146">
        <f>SMALL(AQ2:AU21,99)</f>
        <v>45</v>
      </c>
      <c r="BN21" s="146">
        <f>SMALL(AQ2:AU21,100)</f>
        <v>45</v>
      </c>
      <c r="BO21" s="144"/>
      <c r="BP21" s="144"/>
      <c r="BQ21" s="144"/>
      <c r="BR21" s="398"/>
      <c r="BS21" s="398"/>
      <c r="BT21" s="425"/>
      <c r="BU21" s="425"/>
      <c r="BV21" s="399"/>
      <c r="BW21" s="422"/>
      <c r="BX21" s="422"/>
      <c r="BY21" s="422"/>
      <c r="BZ21" s="422"/>
      <c r="CA21" s="422"/>
      <c r="CB21" s="355"/>
    </row>
    <row r="22" spans="1:80" ht="13.5" thickBot="1">
      <c r="A22" s="306"/>
      <c r="B22" s="1">
        <v>2</v>
      </c>
      <c r="C22" s="377">
        <f t="shared" si="17"/>
        <v>10</v>
      </c>
      <c r="D22" s="377">
        <f t="shared" si="17"/>
        <v>5</v>
      </c>
      <c r="E22" s="377">
        <f t="shared" si="17"/>
        <v>4</v>
      </c>
      <c r="F22" s="377">
        <f t="shared" si="17"/>
        <v>0</v>
      </c>
      <c r="G22" s="377">
        <f t="shared" si="17"/>
        <v>4</v>
      </c>
      <c r="O22" s="414">
        <v>20</v>
      </c>
      <c r="P22" s="379">
        <f ca="1" t="shared" si="11"/>
        <v>7</v>
      </c>
      <c r="Q22" s="379">
        <f ca="1" t="shared" si="11"/>
        <v>9</v>
      </c>
      <c r="R22" s="262">
        <f t="shared" si="15"/>
        <v>2</v>
      </c>
      <c r="S22" s="10">
        <f t="shared" si="16"/>
        <v>1</v>
      </c>
      <c r="T22" s="9"/>
      <c r="U22" s="10">
        <f>SMALL(R3:R40,20)</f>
        <v>0</v>
      </c>
      <c r="V22" s="308"/>
      <c r="W22" s="308"/>
      <c r="X22" s="398"/>
      <c r="Y22" s="399"/>
      <c r="Z22" s="399"/>
      <c r="AA22" s="399"/>
      <c r="AB22" s="353"/>
      <c r="AQ22" s="396">
        <v>1</v>
      </c>
      <c r="AR22" s="396">
        <v>2</v>
      </c>
      <c r="AS22" s="396">
        <v>3</v>
      </c>
      <c r="AT22" s="402">
        <v>4</v>
      </c>
      <c r="AU22" s="402">
        <v>5</v>
      </c>
      <c r="AV22" s="402"/>
      <c r="AW22" s="402">
        <v>1</v>
      </c>
      <c r="AX22" s="402">
        <v>2</v>
      </c>
      <c r="AY22" s="402">
        <v>3</v>
      </c>
      <c r="AZ22" s="402">
        <v>4</v>
      </c>
      <c r="BA22" s="402">
        <v>5</v>
      </c>
      <c r="BB22" s="402"/>
      <c r="BC22" s="402">
        <v>1</v>
      </c>
      <c r="BD22" s="402">
        <v>2</v>
      </c>
      <c r="BE22" s="402">
        <v>3</v>
      </c>
      <c r="BF22" s="402">
        <v>4</v>
      </c>
      <c r="BG22" s="402">
        <v>5</v>
      </c>
      <c r="BH22" s="402"/>
      <c r="BI22" s="402"/>
      <c r="BJ22" s="402">
        <v>1</v>
      </c>
      <c r="BK22" s="402">
        <v>2</v>
      </c>
      <c r="BL22" s="402">
        <v>3</v>
      </c>
      <c r="BM22" s="402">
        <v>4</v>
      </c>
      <c r="BN22" s="402">
        <v>5</v>
      </c>
      <c r="BO22" s="402"/>
      <c r="BP22" s="402"/>
      <c r="BQ22" s="402"/>
      <c r="BR22" s="398"/>
      <c r="BS22" s="398"/>
      <c r="BT22" s="399"/>
      <c r="BU22" s="399"/>
      <c r="BV22" s="399"/>
      <c r="BW22" s="422"/>
      <c r="BX22" s="422"/>
      <c r="BY22" s="422"/>
      <c r="BZ22" s="422"/>
      <c r="CA22" s="422"/>
      <c r="CB22" s="355"/>
    </row>
    <row r="23" spans="1:80" ht="13.5" thickBot="1">
      <c r="A23" s="306"/>
      <c r="B23" s="1">
        <v>1</v>
      </c>
      <c r="C23" s="377">
        <f t="shared" si="17"/>
        <v>3</v>
      </c>
      <c r="D23" s="377">
        <f t="shared" si="17"/>
        <v>4</v>
      </c>
      <c r="E23" s="377">
        <f t="shared" si="17"/>
        <v>-10</v>
      </c>
      <c r="F23" s="377">
        <f t="shared" si="17"/>
        <v>7</v>
      </c>
      <c r="G23" s="377">
        <f t="shared" si="17"/>
        <v>-5</v>
      </c>
      <c r="I23" s="308"/>
      <c r="J23" s="383"/>
      <c r="K23" s="401"/>
      <c r="L23" s="306"/>
      <c r="O23" s="414">
        <v>21</v>
      </c>
      <c r="P23" s="379">
        <f ca="1" t="shared" si="11"/>
        <v>8</v>
      </c>
      <c r="Q23" s="379">
        <f ca="1" t="shared" si="11"/>
        <v>4</v>
      </c>
      <c r="R23" s="262">
        <f t="shared" si="15"/>
        <v>-4</v>
      </c>
      <c r="S23" s="10">
        <f t="shared" si="16"/>
        <v>-1</v>
      </c>
      <c r="T23" s="9"/>
      <c r="U23" s="10">
        <f>SMALL(R3:R40,21)</f>
        <v>0</v>
      </c>
      <c r="V23" s="308"/>
      <c r="W23" s="396" t="s">
        <v>352</v>
      </c>
      <c r="X23" s="9"/>
      <c r="Y23" s="9"/>
      <c r="Z23" s="173"/>
      <c r="AA23" s="409"/>
      <c r="AB23" s="84"/>
      <c r="AQ23" s="291" t="s">
        <v>309</v>
      </c>
      <c r="AR23" s="292">
        <v>20</v>
      </c>
      <c r="AS23" s="396" t="s">
        <v>345</v>
      </c>
      <c r="BR23" s="396"/>
      <c r="BS23" s="308"/>
      <c r="BT23" s="308"/>
      <c r="BU23" s="383"/>
      <c r="BV23" s="401"/>
      <c r="BW23" s="306"/>
      <c r="BX23" s="422"/>
      <c r="BY23" s="422"/>
      <c r="BZ23" s="422"/>
      <c r="CA23" s="422"/>
      <c r="CB23" s="355"/>
    </row>
    <row r="24" spans="1:80" ht="16.5" thickBot="1">
      <c r="A24" s="306"/>
      <c r="B24" s="207"/>
      <c r="C24" s="402">
        <v>1</v>
      </c>
      <c r="D24" s="402">
        <v>2</v>
      </c>
      <c r="E24" s="402">
        <v>3</v>
      </c>
      <c r="F24" s="402">
        <v>4</v>
      </c>
      <c r="G24" s="402">
        <v>5</v>
      </c>
      <c r="J24" s="383"/>
      <c r="K24" s="401"/>
      <c r="L24" s="306"/>
      <c r="O24" s="414">
        <v>22</v>
      </c>
      <c r="P24" s="379">
        <f ca="1" t="shared" si="11"/>
        <v>9</v>
      </c>
      <c r="Q24" s="379">
        <f ca="1" t="shared" si="11"/>
        <v>5</v>
      </c>
      <c r="R24" s="262">
        <f t="shared" si="15"/>
        <v>-4</v>
      </c>
      <c r="S24" s="10">
        <f t="shared" si="16"/>
        <v>-1</v>
      </c>
      <c r="T24" s="9"/>
      <c r="U24" s="10">
        <f>SMALL(R3:R40,22)</f>
        <v>1</v>
      </c>
      <c r="V24" s="308"/>
      <c r="W24" s="10">
        <f>MEDIAN(R3:R40)</f>
        <v>0</v>
      </c>
      <c r="X24" s="9"/>
      <c r="Z24" s="173"/>
      <c r="AA24" s="409"/>
      <c r="AB24" s="84"/>
      <c r="AQ24" s="308" t="s">
        <v>7</v>
      </c>
      <c r="AR24" s="10">
        <f>AVERAGE(AQ2:AU21)</f>
        <v>31.12</v>
      </c>
      <c r="AS24" s="308"/>
      <c r="BR24" s="308"/>
      <c r="BS24" s="308"/>
      <c r="BT24" s="306"/>
      <c r="BU24" s="383"/>
      <c r="BV24" s="401"/>
      <c r="BW24" s="306"/>
      <c r="BX24" s="422"/>
      <c r="BY24" s="422"/>
      <c r="BZ24" s="422"/>
      <c r="CA24" s="422"/>
      <c r="CB24" s="355"/>
    </row>
    <row r="25" spans="2:48" ht="16.5" thickBot="1">
      <c r="B25" s="1">
        <v>10</v>
      </c>
      <c r="C25" s="378">
        <f aca="true" t="shared" si="18" ref="C25:G34">IF(C14&lt;0,-1,IF(C14=0,0,IF(C14&gt;0,1)))</f>
        <v>-1</v>
      </c>
      <c r="D25" s="378">
        <f t="shared" si="18"/>
        <v>-1</v>
      </c>
      <c r="E25" s="378">
        <f t="shared" si="18"/>
        <v>-1</v>
      </c>
      <c r="F25" s="378">
        <f t="shared" si="18"/>
        <v>1</v>
      </c>
      <c r="G25" s="378">
        <f t="shared" si="18"/>
        <v>1</v>
      </c>
      <c r="H25" s="77" t="s">
        <v>375</v>
      </c>
      <c r="J25" s="304"/>
      <c r="K25" s="306"/>
      <c r="L25" s="306"/>
      <c r="O25" s="414">
        <v>23</v>
      </c>
      <c r="P25" s="379">
        <f ca="1" t="shared" si="11"/>
        <v>2</v>
      </c>
      <c r="Q25" s="379">
        <f ca="1" t="shared" si="11"/>
        <v>10</v>
      </c>
      <c r="R25" s="262">
        <f t="shared" si="15"/>
        <v>8</v>
      </c>
      <c r="S25" s="10">
        <f t="shared" si="16"/>
        <v>1</v>
      </c>
      <c r="T25" s="9"/>
      <c r="U25" s="10">
        <f>SMALL(R3:R40,23)</f>
        <v>2</v>
      </c>
      <c r="V25" s="308"/>
      <c r="W25" s="308"/>
      <c r="X25" s="9"/>
      <c r="Z25" s="84"/>
      <c r="AA25" s="84"/>
      <c r="AB25" s="84"/>
      <c r="AQ25" s="304" t="s">
        <v>346</v>
      </c>
      <c r="AR25" s="176">
        <f>STDEV(AQ2:AU21)</f>
        <v>8.755119714322653</v>
      </c>
      <c r="AS25" s="304"/>
      <c r="AT25" s="383"/>
      <c r="AU25" s="308"/>
      <c r="AV25" s="304"/>
    </row>
    <row r="26" spans="2:48" ht="16.5" thickBot="1">
      <c r="B26" s="1">
        <v>9</v>
      </c>
      <c r="C26" s="378">
        <f t="shared" si="18"/>
        <v>-1</v>
      </c>
      <c r="D26" s="378">
        <f t="shared" si="18"/>
        <v>-1</v>
      </c>
      <c r="E26" s="378">
        <f t="shared" si="18"/>
        <v>1</v>
      </c>
      <c r="F26" s="378">
        <f t="shared" si="18"/>
        <v>-1</v>
      </c>
      <c r="G26" s="378">
        <f t="shared" si="18"/>
        <v>1</v>
      </c>
      <c r="J26" s="383"/>
      <c r="K26" s="401"/>
      <c r="L26" s="306"/>
      <c r="O26" s="414">
        <v>24</v>
      </c>
      <c r="P26" s="379">
        <f ca="1" t="shared" si="11"/>
        <v>8</v>
      </c>
      <c r="Q26" s="379">
        <f ca="1" t="shared" si="11"/>
        <v>7</v>
      </c>
      <c r="R26" s="262">
        <f t="shared" si="15"/>
        <v>-1</v>
      </c>
      <c r="S26" s="10">
        <f t="shared" si="16"/>
        <v>-1</v>
      </c>
      <c r="T26" s="9"/>
      <c r="U26" s="10">
        <f>SMALL(R3:R40,24)</f>
        <v>2</v>
      </c>
      <c r="V26" s="308"/>
      <c r="W26" s="308"/>
      <c r="X26" s="412"/>
      <c r="Z26" s="173"/>
      <c r="AA26" s="409"/>
      <c r="AB26" s="84"/>
      <c r="AP26" s="77"/>
      <c r="AQ26" s="304"/>
      <c r="AR26" s="308"/>
      <c r="AS26" s="308"/>
      <c r="AT26" s="383"/>
      <c r="AU26" s="308"/>
      <c r="AV26" s="304"/>
    </row>
    <row r="27" spans="2:48" ht="16.5" thickBot="1">
      <c r="B27" s="1">
        <v>8</v>
      </c>
      <c r="C27" s="378">
        <f t="shared" si="18"/>
        <v>1</v>
      </c>
      <c r="D27" s="378">
        <f t="shared" si="18"/>
        <v>1</v>
      </c>
      <c r="E27" s="378">
        <f t="shared" si="18"/>
        <v>1</v>
      </c>
      <c r="F27" s="378">
        <f t="shared" si="18"/>
        <v>-1</v>
      </c>
      <c r="G27" s="378">
        <f t="shared" si="18"/>
        <v>1</v>
      </c>
      <c r="J27" s="381"/>
      <c r="K27" s="401"/>
      <c r="L27" s="306"/>
      <c r="M27" s="308"/>
      <c r="N27" s="385"/>
      <c r="O27" s="414">
        <v>25</v>
      </c>
      <c r="P27" s="379">
        <f ca="1" t="shared" si="11"/>
        <v>5</v>
      </c>
      <c r="Q27" s="379">
        <f ca="1" t="shared" si="11"/>
        <v>4</v>
      </c>
      <c r="R27" s="262">
        <f t="shared" si="15"/>
        <v>-1</v>
      </c>
      <c r="S27" s="10">
        <f t="shared" si="16"/>
        <v>-1</v>
      </c>
      <c r="T27" s="9"/>
      <c r="U27" s="10">
        <f>SMALL(R3:R40,25)</f>
        <v>3</v>
      </c>
      <c r="V27" s="308"/>
      <c r="W27" s="308"/>
      <c r="X27" s="412"/>
      <c r="Z27" s="173"/>
      <c r="AA27" s="409"/>
      <c r="AB27" s="84"/>
      <c r="AD27" s="9"/>
      <c r="AE27" s="9"/>
      <c r="AF27" s="9"/>
      <c r="AG27" s="385"/>
      <c r="AH27" s="308"/>
      <c r="AI27" s="308"/>
      <c r="AJ27" s="308"/>
      <c r="AK27" s="308"/>
      <c r="AL27" s="308"/>
      <c r="AM27" s="308"/>
      <c r="AN27" s="308"/>
      <c r="AO27" s="385"/>
      <c r="AQ27" s="304"/>
      <c r="AR27" s="308"/>
      <c r="AS27" s="308"/>
      <c r="AT27" s="383"/>
      <c r="AU27" s="308"/>
      <c r="AV27" s="304"/>
    </row>
    <row r="28" spans="2:48" ht="16.5" thickBot="1">
      <c r="B28" s="1">
        <v>7</v>
      </c>
      <c r="C28" s="378">
        <f t="shared" si="18"/>
        <v>1</v>
      </c>
      <c r="D28" s="378">
        <f t="shared" si="18"/>
        <v>-1</v>
      </c>
      <c r="E28" s="378">
        <f t="shared" si="18"/>
        <v>1</v>
      </c>
      <c r="F28" s="378">
        <f t="shared" si="18"/>
        <v>1</v>
      </c>
      <c r="G28" s="378">
        <f t="shared" si="18"/>
        <v>-1</v>
      </c>
      <c r="I28" s="308"/>
      <c r="J28" s="308"/>
      <c r="K28" s="308"/>
      <c r="L28" s="308"/>
      <c r="M28" s="308"/>
      <c r="N28" s="385"/>
      <c r="O28" s="414">
        <v>26</v>
      </c>
      <c r="P28" s="379">
        <f ca="1" t="shared" si="11"/>
        <v>2</v>
      </c>
      <c r="Q28" s="379">
        <f ca="1" t="shared" si="11"/>
        <v>6</v>
      </c>
      <c r="R28" s="262">
        <f t="shared" si="15"/>
        <v>4</v>
      </c>
      <c r="S28" s="10">
        <f t="shared" si="16"/>
        <v>1</v>
      </c>
      <c r="T28" s="9"/>
      <c r="U28" s="10">
        <f>SMALL(R3:R40,26)</f>
        <v>3</v>
      </c>
      <c r="V28" s="308"/>
      <c r="W28" s="308"/>
      <c r="X28" s="173"/>
      <c r="Y28" s="9"/>
      <c r="Z28" s="9"/>
      <c r="AA28" s="9"/>
      <c r="AB28" s="9"/>
      <c r="AC28" s="9"/>
      <c r="AD28" s="9"/>
      <c r="AE28" s="9"/>
      <c r="AF28" s="9"/>
      <c r="AG28" s="385"/>
      <c r="AH28" s="308"/>
      <c r="AI28" s="308"/>
      <c r="AJ28" s="308"/>
      <c r="AK28" s="308"/>
      <c r="AL28" s="308"/>
      <c r="AM28" s="308"/>
      <c r="AN28" s="308"/>
      <c r="AO28" s="385"/>
      <c r="AQ28" s="304"/>
      <c r="AR28" s="304"/>
      <c r="AS28" s="304"/>
      <c r="AT28" s="304"/>
      <c r="AU28" s="304"/>
      <c r="AV28" s="304"/>
    </row>
    <row r="29" spans="2:41" ht="16.5" thickBot="1">
      <c r="B29" s="1">
        <v>6</v>
      </c>
      <c r="C29" s="378">
        <f t="shared" si="18"/>
        <v>-1</v>
      </c>
      <c r="D29" s="378">
        <f t="shared" si="18"/>
        <v>-1</v>
      </c>
      <c r="E29" s="378">
        <f t="shared" si="18"/>
        <v>1</v>
      </c>
      <c r="F29" s="378">
        <f t="shared" si="18"/>
        <v>-1</v>
      </c>
      <c r="G29" s="378">
        <f t="shared" si="18"/>
        <v>1</v>
      </c>
      <c r="I29" s="308"/>
      <c r="J29" s="308"/>
      <c r="K29" s="308"/>
      <c r="L29" s="308"/>
      <c r="M29" s="308"/>
      <c r="N29" s="385"/>
      <c r="O29" s="414">
        <v>27</v>
      </c>
      <c r="P29" s="379">
        <f ca="1" t="shared" si="11"/>
        <v>10</v>
      </c>
      <c r="Q29" s="379">
        <f ca="1" t="shared" si="11"/>
        <v>10</v>
      </c>
      <c r="R29" s="262">
        <f t="shared" si="15"/>
        <v>0</v>
      </c>
      <c r="S29" s="10">
        <f t="shared" si="16"/>
        <v>0</v>
      </c>
      <c r="T29" s="9"/>
      <c r="U29" s="10">
        <f>SMALL(R3:R40,27)</f>
        <v>3</v>
      </c>
      <c r="V29" s="308"/>
      <c r="W29" s="308"/>
      <c r="X29" s="173"/>
      <c r="Y29" s="9"/>
      <c r="Z29" s="9"/>
      <c r="AA29" s="9"/>
      <c r="AB29" s="9"/>
      <c r="AC29" s="9"/>
      <c r="AD29" s="9"/>
      <c r="AE29" s="9"/>
      <c r="AF29" s="9"/>
      <c r="AG29" s="385"/>
      <c r="AH29" s="308"/>
      <c r="AI29" s="308"/>
      <c r="AJ29" s="308"/>
      <c r="AK29" s="308"/>
      <c r="AL29" s="308"/>
      <c r="AM29" s="308"/>
      <c r="AN29" s="308"/>
      <c r="AO29" s="385"/>
    </row>
    <row r="30" spans="2:41" ht="16.5" thickBot="1">
      <c r="B30" s="1">
        <v>5</v>
      </c>
      <c r="C30" s="378">
        <f t="shared" si="18"/>
        <v>1</v>
      </c>
      <c r="D30" s="378">
        <f t="shared" si="18"/>
        <v>1</v>
      </c>
      <c r="E30" s="378">
        <f t="shared" si="18"/>
        <v>-1</v>
      </c>
      <c r="F30" s="378">
        <f t="shared" si="18"/>
        <v>1</v>
      </c>
      <c r="G30" s="378">
        <f t="shared" si="18"/>
        <v>-1</v>
      </c>
      <c r="I30" s="308"/>
      <c r="J30" s="308"/>
      <c r="K30" s="308"/>
      <c r="L30" s="308"/>
      <c r="M30" s="308"/>
      <c r="O30" s="414">
        <v>28</v>
      </c>
      <c r="P30" s="379">
        <f ca="1" t="shared" si="11"/>
        <v>5</v>
      </c>
      <c r="Q30" s="379">
        <f ca="1" t="shared" si="11"/>
        <v>3</v>
      </c>
      <c r="R30" s="262">
        <f t="shared" si="15"/>
        <v>-2</v>
      </c>
      <c r="S30" s="10">
        <f t="shared" si="16"/>
        <v>-1</v>
      </c>
      <c r="T30" s="9"/>
      <c r="U30" s="10">
        <f>SMALL(R3:R40,28)</f>
        <v>3</v>
      </c>
      <c r="V30" s="308"/>
      <c r="W30" s="308"/>
      <c r="Y30" s="9"/>
      <c r="Z30" s="9"/>
      <c r="AA30" s="9"/>
      <c r="AB30" s="9"/>
      <c r="AC30" s="9"/>
      <c r="AD30" s="9"/>
      <c r="AE30" s="9"/>
      <c r="AF30" s="9"/>
      <c r="AG30" s="385"/>
      <c r="AH30" s="308"/>
      <c r="AI30" s="308"/>
      <c r="AJ30" s="308"/>
      <c r="AK30" s="308"/>
      <c r="AL30" s="308"/>
      <c r="AM30" s="308"/>
      <c r="AN30" s="308"/>
      <c r="AO30" s="385"/>
    </row>
    <row r="31" spans="2:28" ht="16.5" thickBot="1">
      <c r="B31" s="1">
        <v>4</v>
      </c>
      <c r="C31" s="378">
        <f t="shared" si="18"/>
        <v>-1</v>
      </c>
      <c r="D31" s="378">
        <f t="shared" si="18"/>
        <v>0</v>
      </c>
      <c r="E31" s="378">
        <f t="shared" si="18"/>
        <v>1</v>
      </c>
      <c r="F31" s="378">
        <f t="shared" si="18"/>
        <v>1</v>
      </c>
      <c r="G31" s="378">
        <f t="shared" si="18"/>
        <v>1</v>
      </c>
      <c r="H31" s="308"/>
      <c r="O31" s="414">
        <v>29</v>
      </c>
      <c r="P31" s="379">
        <f ca="1" t="shared" si="11"/>
        <v>10</v>
      </c>
      <c r="Q31" s="379">
        <f ca="1" t="shared" si="11"/>
        <v>10</v>
      </c>
      <c r="R31" s="393">
        <f t="shared" si="15"/>
        <v>0</v>
      </c>
      <c r="S31" s="394">
        <f t="shared" si="16"/>
        <v>0</v>
      </c>
      <c r="T31" s="9"/>
      <c r="U31" s="10">
        <f>SMALL(R3:R40,29)</f>
        <v>4</v>
      </c>
      <c r="V31" s="308"/>
      <c r="W31" s="308"/>
      <c r="X31" s="9"/>
      <c r="Z31" s="353"/>
      <c r="AA31" s="353"/>
      <c r="AB31" s="353"/>
    </row>
    <row r="32" spans="2:50" ht="16.5" thickBot="1">
      <c r="B32" s="1">
        <v>3</v>
      </c>
      <c r="C32" s="378">
        <f t="shared" si="18"/>
        <v>1</v>
      </c>
      <c r="D32" s="378">
        <f t="shared" si="18"/>
        <v>-1</v>
      </c>
      <c r="E32" s="378">
        <f t="shared" si="18"/>
        <v>-1</v>
      </c>
      <c r="F32" s="378">
        <f t="shared" si="18"/>
        <v>-1</v>
      </c>
      <c r="G32" s="378">
        <f t="shared" si="18"/>
        <v>-1</v>
      </c>
      <c r="H32" s="387"/>
      <c r="O32" s="414">
        <v>30</v>
      </c>
      <c r="P32" s="379">
        <f ca="1" t="shared" si="11"/>
        <v>3</v>
      </c>
      <c r="Q32" s="379">
        <v>7</v>
      </c>
      <c r="R32" s="10">
        <f t="shared" si="15"/>
        <v>4</v>
      </c>
      <c r="S32" s="10">
        <f t="shared" si="16"/>
        <v>1</v>
      </c>
      <c r="T32" s="9"/>
      <c r="U32" s="10">
        <f>SMALL(R3:R40,30)</f>
        <v>4</v>
      </c>
      <c r="V32" s="308"/>
      <c r="W32" s="308"/>
      <c r="Z32" s="353"/>
      <c r="AA32" s="353"/>
      <c r="AB32" s="353"/>
      <c r="AS32" s="306"/>
      <c r="AT32" s="306"/>
      <c r="AU32" s="306"/>
      <c r="AV32" s="383"/>
      <c r="AW32" s="308"/>
      <c r="AX32" s="306"/>
    </row>
    <row r="33" spans="2:28" ht="16.5" thickBot="1">
      <c r="B33" s="1">
        <v>2</v>
      </c>
      <c r="C33" s="378">
        <f t="shared" si="18"/>
        <v>1</v>
      </c>
      <c r="D33" s="378">
        <f t="shared" si="18"/>
        <v>1</v>
      </c>
      <c r="E33" s="378">
        <f t="shared" si="18"/>
        <v>1</v>
      </c>
      <c r="F33" s="378">
        <f t="shared" si="18"/>
        <v>0</v>
      </c>
      <c r="G33" s="378">
        <f t="shared" si="18"/>
        <v>1</v>
      </c>
      <c r="H33" s="387"/>
      <c r="O33" s="414">
        <v>31</v>
      </c>
      <c r="P33" s="379">
        <f ca="1" t="shared" si="11"/>
        <v>10</v>
      </c>
      <c r="Q33" s="379">
        <f ca="1" t="shared" si="11"/>
        <v>3</v>
      </c>
      <c r="R33" s="10">
        <f aca="true" t="shared" si="19" ref="R33:R40">Q33-P33</f>
        <v>-7</v>
      </c>
      <c r="S33" s="10">
        <f aca="true" t="shared" si="20" ref="S33:S40">IF(R33&lt;0,-1,IF(R33=0,0,IF(R33&gt;0,1)))</f>
        <v>-1</v>
      </c>
      <c r="T33" s="9"/>
      <c r="U33" s="10">
        <f>SMALL(R3:R40,31)</f>
        <v>6</v>
      </c>
      <c r="V33" s="308"/>
      <c r="W33" s="308"/>
      <c r="Z33" s="353"/>
      <c r="AA33" s="353"/>
      <c r="AB33" s="353"/>
    </row>
    <row r="34" spans="2:28" ht="16.5" thickBot="1">
      <c r="B34" s="1">
        <v>1</v>
      </c>
      <c r="C34" s="378">
        <f t="shared" si="18"/>
        <v>1</v>
      </c>
      <c r="D34" s="378">
        <f t="shared" si="18"/>
        <v>1</v>
      </c>
      <c r="E34" s="378">
        <f t="shared" si="18"/>
        <v>-1</v>
      </c>
      <c r="F34" s="378">
        <f t="shared" si="18"/>
        <v>1</v>
      </c>
      <c r="G34" s="378">
        <f t="shared" si="18"/>
        <v>-1</v>
      </c>
      <c r="H34" s="387"/>
      <c r="O34" s="414">
        <v>32</v>
      </c>
      <c r="P34" s="379">
        <f ca="1">RANDBETWEEN(2,10)</f>
        <v>3</v>
      </c>
      <c r="Q34" s="379">
        <f ca="1" t="shared" si="11"/>
        <v>2</v>
      </c>
      <c r="R34" s="10">
        <f t="shared" si="19"/>
        <v>-1</v>
      </c>
      <c r="S34" s="10">
        <f t="shared" si="20"/>
        <v>-1</v>
      </c>
      <c r="T34" s="9"/>
      <c r="U34" s="10">
        <f>SMALL(R3:R40,32)</f>
        <v>7</v>
      </c>
      <c r="V34" s="308"/>
      <c r="W34" s="308"/>
      <c r="Z34" s="353"/>
      <c r="AA34" s="353"/>
      <c r="AB34" s="353"/>
    </row>
    <row r="35" spans="3:28" ht="13.5" thickBot="1">
      <c r="C35" s="402">
        <v>1</v>
      </c>
      <c r="D35" s="402">
        <v>2</v>
      </c>
      <c r="E35" s="402">
        <v>3</v>
      </c>
      <c r="F35" s="402">
        <v>4</v>
      </c>
      <c r="G35" s="402">
        <v>5</v>
      </c>
      <c r="H35" s="406"/>
      <c r="O35" s="414">
        <v>33</v>
      </c>
      <c r="P35" s="379">
        <f ca="1" t="shared" si="11"/>
        <v>5</v>
      </c>
      <c r="Q35" s="379">
        <f ca="1" t="shared" si="11"/>
        <v>8</v>
      </c>
      <c r="R35" s="10">
        <f t="shared" si="19"/>
        <v>3</v>
      </c>
      <c r="S35" s="10">
        <f t="shared" si="20"/>
        <v>1</v>
      </c>
      <c r="T35" s="9"/>
      <c r="U35" s="10">
        <f>SMALL(R3:R40,33)</f>
        <v>7</v>
      </c>
      <c r="V35" s="308"/>
      <c r="W35" s="308"/>
      <c r="Z35" s="353"/>
      <c r="AA35" s="353"/>
      <c r="AB35" s="353"/>
    </row>
    <row r="36" spans="8:28" ht="13.5" thickBot="1">
      <c r="H36" s="406"/>
      <c r="O36" s="414">
        <v>34</v>
      </c>
      <c r="P36" s="379">
        <f ca="1" t="shared" si="11"/>
        <v>2</v>
      </c>
      <c r="Q36" s="379">
        <f ca="1" t="shared" si="11"/>
        <v>2</v>
      </c>
      <c r="R36" s="10">
        <f t="shared" si="19"/>
        <v>0</v>
      </c>
      <c r="S36" s="10">
        <f t="shared" si="20"/>
        <v>0</v>
      </c>
      <c r="T36" s="9"/>
      <c r="U36" s="10">
        <f>SMALL(R3:R40,34)</f>
        <v>8</v>
      </c>
      <c r="V36" s="308"/>
      <c r="W36" s="308"/>
      <c r="X36" s="9"/>
      <c r="Z36" s="353"/>
      <c r="AA36" s="353"/>
      <c r="AB36" s="353"/>
    </row>
    <row r="37" spans="2:28" ht="16.5" thickBot="1">
      <c r="B37" s="1">
        <v>1</v>
      </c>
      <c r="C37" s="378">
        <f>SMALL(C2:G11,1)</f>
        <v>0</v>
      </c>
      <c r="D37" s="378">
        <f>SMALL(C2:G11,2)</f>
        <v>1</v>
      </c>
      <c r="E37" s="378">
        <f>SMALL(C2:G11,3)</f>
        <v>1</v>
      </c>
      <c r="F37" s="378">
        <f>SMALL(C2:G11,4)</f>
        <v>1</v>
      </c>
      <c r="G37" s="378">
        <f>SMALL(C2:G11,5)</f>
        <v>2</v>
      </c>
      <c r="H37" s="77" t="s">
        <v>374</v>
      </c>
      <c r="O37" s="414">
        <v>35</v>
      </c>
      <c r="P37" s="379">
        <f ca="1" t="shared" si="11"/>
        <v>8</v>
      </c>
      <c r="Q37" s="379">
        <f ca="1" t="shared" si="11"/>
        <v>5</v>
      </c>
      <c r="R37" s="10">
        <f t="shared" si="19"/>
        <v>-3</v>
      </c>
      <c r="S37" s="10">
        <f t="shared" si="20"/>
        <v>-1</v>
      </c>
      <c r="T37" s="9"/>
      <c r="U37" s="10">
        <f>SMALL(R3:R40,35)</f>
        <v>8</v>
      </c>
      <c r="V37" s="308"/>
      <c r="W37" s="308"/>
      <c r="X37" s="9"/>
      <c r="Z37" s="353"/>
      <c r="AA37" s="353"/>
      <c r="AB37" s="353"/>
    </row>
    <row r="38" spans="2:21" ht="16.5" thickBot="1">
      <c r="B38" s="1">
        <v>2</v>
      </c>
      <c r="C38" s="378">
        <f>SMALL(C2:G11,6)</f>
        <v>2</v>
      </c>
      <c r="D38" s="378">
        <f>SMALL(C2:G11,7)</f>
        <v>2</v>
      </c>
      <c r="E38" s="378">
        <f>SMALL(C2:G11,8)</f>
        <v>3</v>
      </c>
      <c r="F38" s="378">
        <f>SMALL(C2:G11,9)</f>
        <v>3</v>
      </c>
      <c r="G38" s="378">
        <f>SMALL(C2:G11,10)</f>
        <v>3</v>
      </c>
      <c r="H38" s="406"/>
      <c r="O38" s="414">
        <v>36</v>
      </c>
      <c r="P38" s="379">
        <f ca="1" t="shared" si="11"/>
        <v>6</v>
      </c>
      <c r="Q38" s="379">
        <f ca="1" t="shared" si="11"/>
        <v>4</v>
      </c>
      <c r="R38" s="10">
        <f t="shared" si="19"/>
        <v>-2</v>
      </c>
      <c r="S38" s="10">
        <f t="shared" si="20"/>
        <v>-1</v>
      </c>
      <c r="T38" s="9"/>
      <c r="U38" s="10">
        <f>SMALL(R3:R40,36)</f>
        <v>8</v>
      </c>
    </row>
    <row r="39" spans="2:56" ht="16.5" thickBot="1">
      <c r="B39" s="1">
        <v>3</v>
      </c>
      <c r="C39" s="378">
        <f>SMALL(C2:G11,11)</f>
        <v>3</v>
      </c>
      <c r="D39" s="378">
        <f>SMALL(C2:G11,12)</f>
        <v>5</v>
      </c>
      <c r="E39" s="378">
        <f>SMALL(C2:G11,13)</f>
        <v>5</v>
      </c>
      <c r="F39" s="378">
        <f>SMALL(C2:G11,14)</f>
        <v>6</v>
      </c>
      <c r="G39" s="378">
        <f>SMALL(C2:G11,15)</f>
        <v>6</v>
      </c>
      <c r="O39" s="414">
        <v>37</v>
      </c>
      <c r="P39" s="379">
        <f ca="1" t="shared" si="11"/>
        <v>9</v>
      </c>
      <c r="Q39" s="379">
        <f ca="1" t="shared" si="11"/>
        <v>3</v>
      </c>
      <c r="R39" s="10">
        <f t="shared" si="19"/>
        <v>-6</v>
      </c>
      <c r="S39" s="10">
        <f t="shared" si="20"/>
        <v>-1</v>
      </c>
      <c r="T39" s="9"/>
      <c r="U39" s="10">
        <f>SMALL(R3:R40,37)</f>
        <v>8</v>
      </c>
      <c r="BD39" s="1">
        <f>(1+100)/2</f>
        <v>50.5</v>
      </c>
    </row>
    <row r="40" spans="2:21" ht="16.5" thickBot="1">
      <c r="B40" s="1">
        <v>4</v>
      </c>
      <c r="C40" s="378">
        <f>SMALL(C2:G11,16)</f>
        <v>7</v>
      </c>
      <c r="D40" s="378">
        <f>SMALL(C2:G11,17)</f>
        <v>8</v>
      </c>
      <c r="E40" s="378">
        <f>SMALL(C2:G11,18)</f>
        <v>8</v>
      </c>
      <c r="F40" s="378">
        <f>SMALL(C2:G11,19)</f>
        <v>9</v>
      </c>
      <c r="G40" s="378">
        <f>SMALL(C2:G11,20)</f>
        <v>9</v>
      </c>
      <c r="H40" s="395" t="s">
        <v>348</v>
      </c>
      <c r="O40" s="414">
        <v>38</v>
      </c>
      <c r="P40" s="379">
        <f ca="1" t="shared" si="11"/>
        <v>2</v>
      </c>
      <c r="Q40" s="379">
        <f ca="1" t="shared" si="11"/>
        <v>10</v>
      </c>
      <c r="R40" s="10">
        <f t="shared" si="19"/>
        <v>8</v>
      </c>
      <c r="S40" s="10">
        <f t="shared" si="20"/>
        <v>1</v>
      </c>
      <c r="T40" s="9"/>
      <c r="U40" s="10">
        <f>SMALL(R3:R40,38)</f>
        <v>8</v>
      </c>
    </row>
    <row r="41" spans="2:19" ht="16.5" thickBot="1">
      <c r="B41" s="1">
        <v>5</v>
      </c>
      <c r="C41" s="378">
        <f>SMALL(C2:G11,21)</f>
        <v>9</v>
      </c>
      <c r="D41" s="378">
        <f>SMALL(C2:G11,22)</f>
        <v>10</v>
      </c>
      <c r="E41" s="378">
        <f>SMALL(C2:G11,23)</f>
        <v>10</v>
      </c>
      <c r="F41" s="378">
        <f>SMALL(C2:G11,24)</f>
        <v>11</v>
      </c>
      <c r="G41" s="421">
        <f>SMALL(C2:G11,25)</f>
        <v>11</v>
      </c>
      <c r="H41" s="176">
        <f>median25</f>
        <v>10</v>
      </c>
      <c r="P41" s="353"/>
      <c r="Q41" s="353"/>
      <c r="R41" s="353"/>
      <c r="S41" s="353"/>
    </row>
    <row r="42" spans="2:19" ht="16.5" thickBot="1">
      <c r="B42" s="1">
        <v>6</v>
      </c>
      <c r="C42" s="421">
        <f>SMALL(C2:G11,26)</f>
        <v>11</v>
      </c>
      <c r="D42" s="378">
        <f>SMALL(C2:G11,27)</f>
        <v>12</v>
      </c>
      <c r="E42" s="378">
        <f>SMALL(C2:G11,28)</f>
        <v>12</v>
      </c>
      <c r="F42" s="378">
        <f>SMALL(C2:G11,29)</f>
        <v>12</v>
      </c>
      <c r="G42" s="378">
        <f>SMALL(C2:G11,30)</f>
        <v>12</v>
      </c>
      <c r="P42" s="353"/>
      <c r="Q42" s="353"/>
      <c r="R42" s="353"/>
      <c r="S42" s="353"/>
    </row>
    <row r="43" spans="2:19" ht="16.5" thickBot="1">
      <c r="B43" s="1">
        <v>7</v>
      </c>
      <c r="C43" s="378">
        <f>SMALL(C2:G11,31)</f>
        <v>13</v>
      </c>
      <c r="D43" s="378">
        <f>SMALL(C2:G11,32)</f>
        <v>13</v>
      </c>
      <c r="E43" s="378">
        <f>SMALL(C2:G11,33)</f>
        <v>13</v>
      </c>
      <c r="F43" s="378">
        <f>SMALL(C2:G11,34)</f>
        <v>13</v>
      </c>
      <c r="G43" s="378">
        <f>SMALL(C2:G11,35)</f>
        <v>14</v>
      </c>
      <c r="H43" s="395" t="s">
        <v>349</v>
      </c>
      <c r="P43" s="353"/>
      <c r="Q43" s="353"/>
      <c r="R43" s="353"/>
      <c r="S43" s="353"/>
    </row>
    <row r="44" spans="2:19" ht="16.5" thickBot="1">
      <c r="B44" s="1">
        <v>8</v>
      </c>
      <c r="C44" s="378">
        <f>SMALL(C2:G11,36)</f>
        <v>14</v>
      </c>
      <c r="D44" s="378">
        <f>SMALL(C2:G11,37)</f>
        <v>14</v>
      </c>
      <c r="E44" s="378">
        <f>SMALL(C2:G11,38)</f>
        <v>14</v>
      </c>
      <c r="F44" s="378">
        <f>SMALL(C2:G11,39)</f>
        <v>14</v>
      </c>
      <c r="G44" s="378">
        <f>SMALL(C2:G11,40)</f>
        <v>15</v>
      </c>
      <c r="H44" s="176">
        <f>MEDIAN(C2:G11)</f>
        <v>11</v>
      </c>
      <c r="P44" s="353"/>
      <c r="Q44" s="353"/>
      <c r="R44" s="353"/>
      <c r="S44" s="353"/>
    </row>
    <row r="45" spans="2:19" ht="16.5" thickBot="1">
      <c r="B45" s="1">
        <v>9</v>
      </c>
      <c r="C45" s="378">
        <f>SMALL(C2:G11,41)</f>
        <v>15</v>
      </c>
      <c r="D45" s="378">
        <f>SMALL(C2:G11,42)</f>
        <v>15</v>
      </c>
      <c r="E45" s="378">
        <f>SMALL(C2:G11,43)</f>
        <v>16</v>
      </c>
      <c r="F45" s="378">
        <f>SMALL(C2:G11,44)</f>
        <v>17</v>
      </c>
      <c r="G45" s="378">
        <f>SMALL(C2:G11,45)</f>
        <v>17</v>
      </c>
      <c r="P45" s="353"/>
      <c r="Q45" s="353"/>
      <c r="R45" s="353"/>
      <c r="S45" s="353"/>
    </row>
    <row r="46" spans="2:19" ht="15.75">
      <c r="B46" s="1">
        <v>10</v>
      </c>
      <c r="C46" s="378">
        <f>SMALL(C2:G11,46)</f>
        <v>19</v>
      </c>
      <c r="D46" s="378">
        <f>SMALL(C2:G11,47)</f>
        <v>20</v>
      </c>
      <c r="E46" s="378">
        <f>SMALL(C2:G11,48)</f>
        <v>20</v>
      </c>
      <c r="F46" s="378">
        <f>SMALL(C2:G11,49)</f>
        <v>20</v>
      </c>
      <c r="G46" s="378">
        <f>SMALL(C2:G11,50)</f>
        <v>20</v>
      </c>
      <c r="P46" s="353"/>
      <c r="Q46" s="353"/>
      <c r="R46" s="353"/>
      <c r="S46" s="353"/>
    </row>
    <row r="47" spans="3:19" ht="12.75">
      <c r="C47" s="1">
        <v>1</v>
      </c>
      <c r="D47" s="1">
        <v>2</v>
      </c>
      <c r="E47" s="1">
        <v>3</v>
      </c>
      <c r="F47" s="1">
        <v>4</v>
      </c>
      <c r="G47" s="1">
        <v>5</v>
      </c>
      <c r="P47" s="353"/>
      <c r="Q47" s="353"/>
      <c r="R47" s="353"/>
      <c r="S47" s="353"/>
    </row>
    <row r="54" spans="3:10" ht="12.75">
      <c r="C54" s="308"/>
      <c r="D54" s="387" t="s">
        <v>322</v>
      </c>
      <c r="E54" s="308"/>
      <c r="F54" s="308"/>
      <c r="G54" s="308"/>
      <c r="H54" s="406"/>
      <c r="J54" s="410" t="s">
        <v>322</v>
      </c>
    </row>
    <row r="55" spans="1:10" ht="12.75">
      <c r="A55" s="388" t="s">
        <v>315</v>
      </c>
      <c r="B55" s="388"/>
      <c r="C55" s="389"/>
      <c r="D55" s="389"/>
      <c r="E55" s="389"/>
      <c r="F55" s="389"/>
      <c r="G55" s="389"/>
      <c r="H55" s="355"/>
      <c r="I55" s="388" t="s">
        <v>338</v>
      </c>
      <c r="J55" s="388"/>
    </row>
    <row r="56" spans="1:10" ht="12.75">
      <c r="A56" s="388" t="s">
        <v>316</v>
      </c>
      <c r="B56" s="388"/>
      <c r="C56" s="389"/>
      <c r="D56" s="389"/>
      <c r="E56" s="389"/>
      <c r="F56" s="389"/>
      <c r="G56" s="389"/>
      <c r="H56" s="355"/>
      <c r="I56" s="388" t="s">
        <v>339</v>
      </c>
      <c r="J56" s="388"/>
    </row>
    <row r="57" spans="1:10" ht="12.75">
      <c r="A57" s="388" t="s">
        <v>317</v>
      </c>
      <c r="B57" s="388"/>
      <c r="C57" s="389"/>
      <c r="D57" s="389"/>
      <c r="E57" s="389"/>
      <c r="F57" s="389"/>
      <c r="G57" s="389"/>
      <c r="H57" s="355"/>
      <c r="I57" s="388" t="s">
        <v>340</v>
      </c>
      <c r="J57" s="388"/>
    </row>
    <row r="58" spans="1:8" ht="12.75">
      <c r="A58" s="388" t="s">
        <v>318</v>
      </c>
      <c r="B58" s="388"/>
      <c r="C58" s="388"/>
      <c r="D58" s="388"/>
      <c r="E58" s="388"/>
      <c r="F58" s="388"/>
      <c r="G58" s="388"/>
      <c r="H58" s="355"/>
    </row>
    <row r="59" spans="1:8" ht="12.75">
      <c r="A59" s="388" t="s">
        <v>319</v>
      </c>
      <c r="B59" s="388"/>
      <c r="C59" s="388"/>
      <c r="D59" s="388"/>
      <c r="E59" s="388"/>
      <c r="F59" s="388"/>
      <c r="G59" s="388"/>
      <c r="H59" s="355"/>
    </row>
    <row r="60" spans="1:8" ht="12.75">
      <c r="A60" s="388" t="s">
        <v>320</v>
      </c>
      <c r="B60" s="388"/>
      <c r="C60" s="388"/>
      <c r="D60" s="388"/>
      <c r="E60" s="388"/>
      <c r="F60" s="388"/>
      <c r="G60" s="388"/>
      <c r="H60" s="355"/>
    </row>
    <row r="61" spans="1:8" ht="12.75">
      <c r="A61" s="388" t="s">
        <v>321</v>
      </c>
      <c r="B61" s="388"/>
      <c r="C61" s="388"/>
      <c r="D61" s="388"/>
      <c r="E61" s="388"/>
      <c r="F61" s="388"/>
      <c r="G61" s="388"/>
      <c r="H61" s="355"/>
    </row>
    <row r="62" spans="1:8" ht="12.75">
      <c r="A62" s="388" t="s">
        <v>324</v>
      </c>
      <c r="B62" s="388" t="s">
        <v>312</v>
      </c>
      <c r="C62" s="388"/>
      <c r="D62" s="388"/>
      <c r="E62" s="388"/>
      <c r="F62" s="388"/>
      <c r="G62" s="388"/>
      <c r="H62" s="355"/>
    </row>
    <row r="63" spans="1:8" ht="12.75">
      <c r="A63" s="388" t="s">
        <v>347</v>
      </c>
      <c r="B63" s="355"/>
      <c r="C63" s="355"/>
      <c r="D63" s="355"/>
      <c r="E63" s="355"/>
      <c r="F63" s="355"/>
      <c r="G63" s="355"/>
      <c r="H63" s="355"/>
    </row>
    <row r="64" ht="12.75">
      <c r="A64" s="1" t="s">
        <v>351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V51"/>
  <sheetViews>
    <sheetView zoomScale="86" zoomScaleNormal="86" zoomScalePageLayoutView="0" workbookViewId="0" topLeftCell="A1">
      <selection activeCell="U32" sqref="U32"/>
    </sheetView>
  </sheetViews>
  <sheetFormatPr defaultColWidth="9.140625" defaultRowHeight="12.75"/>
  <cols>
    <col min="1" max="1" width="1.1484375" style="433" customWidth="1"/>
    <col min="2" max="2" width="3.7109375" style="0" customWidth="1"/>
    <col min="5" max="5" width="2.140625" style="18" customWidth="1"/>
    <col min="6" max="6" width="6.7109375" style="0" customWidth="1"/>
    <col min="7" max="7" width="5.00390625" style="0" customWidth="1"/>
    <col min="8" max="8" width="3.140625" style="0" customWidth="1"/>
    <col min="9" max="9" width="10.8515625" style="0" customWidth="1"/>
    <col min="10" max="10" width="8.421875" style="0" customWidth="1"/>
    <col min="11" max="11" width="6.57421875" style="18" customWidth="1"/>
    <col min="12" max="12" width="9.00390625" style="18" customWidth="1"/>
    <col min="13" max="13" width="8.8515625" style="18" customWidth="1"/>
    <col min="14" max="15" width="6.57421875" style="18" customWidth="1"/>
    <col min="17" max="17" width="9.140625" style="5" customWidth="1"/>
    <col min="18" max="18" width="3.28125" style="5" customWidth="1"/>
    <col min="19" max="19" width="1.1484375" style="433" customWidth="1"/>
    <col min="20" max="21" width="9.140625" style="3" customWidth="1"/>
    <col min="28" max="28" width="14.8515625" style="0" customWidth="1"/>
    <col min="29" max="29" width="2.140625" style="433" customWidth="1"/>
    <col min="30" max="30" width="1.1484375" style="433" customWidth="1"/>
    <col min="31" max="31" width="3.8515625" style="0" customWidth="1"/>
    <col min="33" max="33" width="6.8515625" style="0" customWidth="1"/>
    <col min="34" max="34" width="3.7109375" style="0" customWidth="1"/>
    <col min="36" max="36" width="6.140625" style="0" customWidth="1"/>
    <col min="37" max="37" width="3.7109375" style="0" customWidth="1"/>
    <col min="39" max="39" width="6.7109375" style="0" customWidth="1"/>
    <col min="42" max="42" width="8.00390625" style="0" customWidth="1"/>
    <col min="43" max="43" width="5.140625" style="0" customWidth="1"/>
  </cols>
  <sheetData>
    <row r="1" spans="1:48" s="437" customFormat="1" ht="23.25">
      <c r="A1" s="439"/>
      <c r="C1" s="437" t="s">
        <v>391</v>
      </c>
      <c r="E1" s="438"/>
      <c r="K1" s="438"/>
      <c r="L1" s="411" t="s">
        <v>381</v>
      </c>
      <c r="M1" s="2" t="s">
        <v>382</v>
      </c>
      <c r="N1" s="438"/>
      <c r="O1" s="438"/>
      <c r="S1" s="439"/>
      <c r="T1" s="441"/>
      <c r="U1" s="441"/>
      <c r="AC1" s="439"/>
      <c r="AD1" s="439"/>
      <c r="AE1" s="446"/>
      <c r="AF1" s="446" t="s">
        <v>391</v>
      </c>
      <c r="AG1" s="446"/>
      <c r="AH1" s="446"/>
      <c r="AI1" s="446"/>
      <c r="AJ1" s="446"/>
      <c r="AK1" s="446"/>
      <c r="AL1" s="446"/>
      <c r="AM1" s="446"/>
      <c r="AN1" s="446"/>
      <c r="AO1" s="411" t="s">
        <v>381</v>
      </c>
      <c r="AP1" s="411" t="s">
        <v>382</v>
      </c>
      <c r="AQ1" s="446"/>
      <c r="AR1" s="446"/>
      <c r="AS1" s="446"/>
      <c r="AT1" s="446"/>
      <c r="AU1" s="446"/>
      <c r="AV1" s="439"/>
    </row>
    <row r="2" spans="2:48" ht="15.75">
      <c r="B2" s="411"/>
      <c r="C2" s="416"/>
      <c r="D2" s="411"/>
      <c r="E2" s="429"/>
      <c r="F2" s="411" t="s">
        <v>381</v>
      </c>
      <c r="G2" s="411" t="s">
        <v>382</v>
      </c>
      <c r="H2" s="427"/>
      <c r="I2" s="411" t="s">
        <v>381</v>
      </c>
      <c r="J2" s="2" t="s">
        <v>382</v>
      </c>
      <c r="L2" s="442" t="s">
        <v>403</v>
      </c>
      <c r="T2" s="186"/>
      <c r="AE2" s="411"/>
      <c r="AF2" s="416"/>
      <c r="AG2" s="411"/>
      <c r="AH2" s="411"/>
      <c r="AI2" s="411" t="s">
        <v>381</v>
      </c>
      <c r="AJ2" s="411" t="s">
        <v>382</v>
      </c>
      <c r="AK2" s="428"/>
      <c r="AL2" s="411" t="s">
        <v>381</v>
      </c>
      <c r="AM2" s="411" t="s">
        <v>382</v>
      </c>
      <c r="AN2" s="156"/>
      <c r="AO2" s="447" t="s">
        <v>403</v>
      </c>
      <c r="AP2" s="447"/>
      <c r="AQ2" s="156"/>
      <c r="AR2" s="156"/>
      <c r="AS2" s="156"/>
      <c r="AT2" s="448"/>
      <c r="AU2" s="448"/>
      <c r="AV2" s="433"/>
    </row>
    <row r="3" spans="2:48" ht="16.5" thickBot="1">
      <c r="B3" s="427"/>
      <c r="C3" s="144" t="s">
        <v>381</v>
      </c>
      <c r="D3" s="144" t="s">
        <v>382</v>
      </c>
      <c r="E3" s="308"/>
      <c r="F3" s="440" t="s">
        <v>388</v>
      </c>
      <c r="G3" s="308"/>
      <c r="H3" s="9"/>
      <c r="I3" s="402" t="s">
        <v>389</v>
      </c>
      <c r="L3" s="431" t="s">
        <v>389</v>
      </c>
      <c r="M3"/>
      <c r="N3"/>
      <c r="Q3" s="186"/>
      <c r="R3" s="184"/>
      <c r="T3" s="184"/>
      <c r="AE3" s="428"/>
      <c r="AF3" s="449" t="s">
        <v>381</v>
      </c>
      <c r="AG3" s="449" t="s">
        <v>382</v>
      </c>
      <c r="AH3" s="9"/>
      <c r="AI3" s="179" t="s">
        <v>388</v>
      </c>
      <c r="AJ3" s="9"/>
      <c r="AK3" s="9"/>
      <c r="AL3" s="179" t="s">
        <v>389</v>
      </c>
      <c r="AM3" s="156"/>
      <c r="AN3" s="156"/>
      <c r="AO3" s="450" t="s">
        <v>389</v>
      </c>
      <c r="AP3" s="156"/>
      <c r="AQ3" s="156"/>
      <c r="AR3" s="156"/>
      <c r="AS3" s="156"/>
      <c r="AT3" s="451"/>
      <c r="AU3" s="452"/>
      <c r="AV3" s="433"/>
    </row>
    <row r="4" spans="2:48" ht="15.75" thickBot="1">
      <c r="B4" s="414">
        <v>1</v>
      </c>
      <c r="C4" s="379">
        <v>11</v>
      </c>
      <c r="D4" s="379">
        <v>14</v>
      </c>
      <c r="E4" s="430"/>
      <c r="F4" s="262">
        <f>SMALL(C4:C23,1)</f>
        <v>1</v>
      </c>
      <c r="G4" s="10">
        <f>SMALL(D4:D23,1)</f>
        <v>2</v>
      </c>
      <c r="H4" s="9"/>
      <c r="I4" s="10">
        <f>RANK(F4,F4:G23,1)</f>
        <v>1</v>
      </c>
      <c r="J4" s="10">
        <f>RANK(G4,F4:G23,1)</f>
        <v>2</v>
      </c>
      <c r="K4" s="308"/>
      <c r="L4" s="10">
        <f>I4</f>
        <v>1</v>
      </c>
      <c r="M4" s="10">
        <v>3</v>
      </c>
      <c r="N4" s="308"/>
      <c r="O4" s="308" t="s">
        <v>399</v>
      </c>
      <c r="Q4" s="183"/>
      <c r="R4" s="184"/>
      <c r="T4" s="184"/>
      <c r="AE4" s="414">
        <v>1</v>
      </c>
      <c r="AF4" s="453">
        <v>12</v>
      </c>
      <c r="AG4" s="453">
        <v>11</v>
      </c>
      <c r="AH4" s="454"/>
      <c r="AI4" s="455">
        <f>SMALL(AF4:AF23,1)</f>
        <v>2</v>
      </c>
      <c r="AJ4" s="171">
        <f>SMALL(AG4:AG23,1)</f>
        <v>3</v>
      </c>
      <c r="AK4" s="9"/>
      <c r="AL4" s="171">
        <f>RANK(AI4,AI4:AJ23,1)</f>
        <v>1</v>
      </c>
      <c r="AM4" s="171">
        <f>RANK(AJ4,AI4:AJ23,1)</f>
        <v>2</v>
      </c>
      <c r="AN4" s="9"/>
      <c r="AO4" s="171">
        <f>AL4</f>
        <v>1</v>
      </c>
      <c r="AP4" s="171">
        <f>AM4</f>
        <v>2</v>
      </c>
      <c r="AQ4" s="9"/>
      <c r="AR4" s="9" t="s">
        <v>399</v>
      </c>
      <c r="AS4" s="156"/>
      <c r="AT4" s="456"/>
      <c r="AU4" s="452"/>
      <c r="AV4" s="433"/>
    </row>
    <row r="5" spans="2:48" ht="15.75" thickBot="1">
      <c r="B5" s="414">
        <v>2</v>
      </c>
      <c r="C5" s="379">
        <v>2</v>
      </c>
      <c r="D5" s="379">
        <v>9</v>
      </c>
      <c r="E5" s="430"/>
      <c r="F5" s="262">
        <f>SMALL(C4:C23,2)</f>
        <v>2</v>
      </c>
      <c r="G5" s="10">
        <f>SMALL(D4:D23,2)</f>
        <v>3</v>
      </c>
      <c r="H5" s="9"/>
      <c r="I5" s="10">
        <f>RANK(F5,F4:G23,1)</f>
        <v>2</v>
      </c>
      <c r="J5" s="10">
        <f>RANK(G5,F4:G23,1)</f>
        <v>5</v>
      </c>
      <c r="K5" s="308"/>
      <c r="L5" s="10">
        <v>3</v>
      </c>
      <c r="M5" s="10">
        <v>5.5</v>
      </c>
      <c r="N5" s="308"/>
      <c r="O5" s="10">
        <f>AVERAGE(C4:C23)</f>
        <v>12.25</v>
      </c>
      <c r="Q5" s="183"/>
      <c r="R5" s="184"/>
      <c r="T5" s="184"/>
      <c r="AE5" s="414">
        <v>2</v>
      </c>
      <c r="AF5" s="453">
        <v>4</v>
      </c>
      <c r="AG5" s="453">
        <v>3</v>
      </c>
      <c r="AH5" s="454"/>
      <c r="AI5" s="455">
        <f>SMALL(AF4:AF23,2)</f>
        <v>4</v>
      </c>
      <c r="AJ5" s="171">
        <f>SMALL(AG4:AG23,2)</f>
        <v>7</v>
      </c>
      <c r="AK5" s="9"/>
      <c r="AL5" s="171">
        <f>RANK(AI5,AI4:AJ23,1)</f>
        <v>3</v>
      </c>
      <c r="AM5" s="171">
        <f>RANK(AJ5,AI4:AJ23,1)</f>
        <v>5</v>
      </c>
      <c r="AN5" s="9"/>
      <c r="AO5" s="171">
        <f aca="true" t="shared" si="0" ref="AO5:AO13">AL5</f>
        <v>3</v>
      </c>
      <c r="AP5" s="171">
        <f aca="true" t="shared" si="1" ref="AP5:AP13">AM5</f>
        <v>5</v>
      </c>
      <c r="AQ5" s="9"/>
      <c r="AR5" s="171">
        <f>AVERAGE(AF4:AF23)</f>
        <v>15.9</v>
      </c>
      <c r="AS5" s="156"/>
      <c r="AT5" s="456"/>
      <c r="AU5" s="452"/>
      <c r="AV5" s="433"/>
    </row>
    <row r="6" spans="2:48" ht="15.75" thickBot="1">
      <c r="B6" s="414">
        <v>3</v>
      </c>
      <c r="C6" s="379">
        <v>15</v>
      </c>
      <c r="D6" s="379">
        <v>16</v>
      </c>
      <c r="E6" s="430"/>
      <c r="F6" s="262">
        <f>SMALL(C4:C23,3)</f>
        <v>2</v>
      </c>
      <c r="G6" s="10">
        <f>SMALL(D4:D23,3)</f>
        <v>4</v>
      </c>
      <c r="H6" s="9"/>
      <c r="I6" s="10">
        <f>RANK(F6,F4:G23,1)</f>
        <v>2</v>
      </c>
      <c r="J6" s="10">
        <f>RANK(G6,F4:G23,1)</f>
        <v>7</v>
      </c>
      <c r="K6" s="308"/>
      <c r="L6" s="10">
        <v>3</v>
      </c>
      <c r="M6" s="10">
        <v>8</v>
      </c>
      <c r="N6" s="308"/>
      <c r="O6" s="308" t="s">
        <v>400</v>
      </c>
      <c r="Q6" s="183"/>
      <c r="R6" s="184"/>
      <c r="T6" s="184"/>
      <c r="AE6" s="414">
        <v>3</v>
      </c>
      <c r="AF6" s="453">
        <v>6</v>
      </c>
      <c r="AG6" s="453">
        <v>7</v>
      </c>
      <c r="AH6" s="454"/>
      <c r="AI6" s="455">
        <f>SMALL(AF4:AF23,3)</f>
        <v>6</v>
      </c>
      <c r="AJ6" s="171">
        <f>SMALL(AG4:AG23,3)</f>
        <v>8</v>
      </c>
      <c r="AK6" s="9"/>
      <c r="AL6" s="171">
        <f>RANK(AI6,AI4:AJ23,1)</f>
        <v>4</v>
      </c>
      <c r="AM6" s="171">
        <f>RANK(AJ6,AI4:AJ23,1)</f>
        <v>6</v>
      </c>
      <c r="AN6" s="9"/>
      <c r="AO6" s="171">
        <f t="shared" si="0"/>
        <v>4</v>
      </c>
      <c r="AP6" s="171">
        <f t="shared" si="1"/>
        <v>6</v>
      </c>
      <c r="AQ6" s="9"/>
      <c r="AR6" s="9" t="s">
        <v>400</v>
      </c>
      <c r="AS6" s="156"/>
      <c r="AT6" s="456"/>
      <c r="AU6" s="452"/>
      <c r="AV6" s="433"/>
    </row>
    <row r="7" spans="2:48" ht="15.75" thickBot="1">
      <c r="B7" s="414">
        <v>4</v>
      </c>
      <c r="C7" s="379">
        <v>17</v>
      </c>
      <c r="D7" s="379">
        <v>19</v>
      </c>
      <c r="E7" s="430"/>
      <c r="F7" s="262">
        <f>SMALL(C4:C23,4)</f>
        <v>3</v>
      </c>
      <c r="G7" s="10">
        <f>SMALL(D4:D23,4)</f>
        <v>6</v>
      </c>
      <c r="H7" s="9"/>
      <c r="I7" s="10">
        <f>RANK(F7,F4:G23,1)</f>
        <v>5</v>
      </c>
      <c r="J7" s="10">
        <f>RANK(G7,F4:G23,1)</f>
        <v>10</v>
      </c>
      <c r="K7" s="308"/>
      <c r="L7" s="10">
        <v>5.5</v>
      </c>
      <c r="M7" s="10">
        <f aca="true" t="shared" si="2" ref="M7:M23">J7</f>
        <v>10</v>
      </c>
      <c r="N7" s="308"/>
      <c r="O7" s="10">
        <f>MEDIAN(C4:C23)</f>
        <v>12</v>
      </c>
      <c r="Q7" s="186"/>
      <c r="R7" s="186"/>
      <c r="T7" s="186"/>
      <c r="AE7" s="414">
        <v>4</v>
      </c>
      <c r="AF7" s="453">
        <v>30</v>
      </c>
      <c r="AG7" s="453">
        <v>8</v>
      </c>
      <c r="AH7" s="454"/>
      <c r="AI7" s="455">
        <f>SMALL(AF4:AF23,4)</f>
        <v>12</v>
      </c>
      <c r="AJ7" s="171">
        <f>SMALL(AG4:AG23,4)</f>
        <v>10</v>
      </c>
      <c r="AK7" s="9"/>
      <c r="AL7" s="171">
        <f>RANK(AI7,AI4:AJ23,1)</f>
        <v>12</v>
      </c>
      <c r="AM7" s="171">
        <f>RANK(AJ7,AI4:AJ23,1)</f>
        <v>7</v>
      </c>
      <c r="AN7" s="9"/>
      <c r="AO7" s="171">
        <v>12.5</v>
      </c>
      <c r="AP7" s="171">
        <f t="shared" si="1"/>
        <v>7</v>
      </c>
      <c r="AQ7" s="9"/>
      <c r="AR7" s="171">
        <f>MEDIAN(AF4:AF23)</f>
        <v>16.5</v>
      </c>
      <c r="AS7" s="156"/>
      <c r="AT7" s="451"/>
      <c r="AU7" s="451"/>
      <c r="AV7" s="433"/>
    </row>
    <row r="8" spans="2:48" ht="15.75" thickBot="1">
      <c r="B8" s="414">
        <v>5</v>
      </c>
      <c r="C8" s="379">
        <v>13</v>
      </c>
      <c r="D8" s="379">
        <v>10</v>
      </c>
      <c r="E8" s="430"/>
      <c r="F8" s="262">
        <f>SMALL(C4:C23,5)</f>
        <v>4</v>
      </c>
      <c r="G8" s="10">
        <f>SMALL(D4:D23,5)</f>
        <v>8</v>
      </c>
      <c r="H8" s="9"/>
      <c r="I8" s="10">
        <f>RANK(F8,F4:G23,1)</f>
        <v>7</v>
      </c>
      <c r="J8" s="10">
        <f>RANK(G8,F4:G23,1)</f>
        <v>12</v>
      </c>
      <c r="K8" s="308"/>
      <c r="L8" s="10">
        <v>8</v>
      </c>
      <c r="M8" s="10">
        <v>11.5</v>
      </c>
      <c r="N8" s="308"/>
      <c r="O8" s="308"/>
      <c r="Q8" s="183"/>
      <c r="R8" s="184"/>
      <c r="T8" s="186"/>
      <c r="AE8" s="414">
        <v>5</v>
      </c>
      <c r="AF8" s="453">
        <v>26</v>
      </c>
      <c r="AG8" s="453">
        <v>10</v>
      </c>
      <c r="AH8" s="454"/>
      <c r="AI8" s="455">
        <f>SMALL(AF4:AF23,5)</f>
        <v>14</v>
      </c>
      <c r="AJ8" s="171">
        <f>SMALL(AG4:AG23,5)</f>
        <v>11</v>
      </c>
      <c r="AK8" s="9"/>
      <c r="AL8" s="171">
        <f>RANK(AI8,AI4:AJ23,1)</f>
        <v>14</v>
      </c>
      <c r="AM8" s="171">
        <f>RANK(AJ8,AI4:AJ23,1)</f>
        <v>8</v>
      </c>
      <c r="AN8" s="9"/>
      <c r="AO8" s="171">
        <f t="shared" si="0"/>
        <v>14</v>
      </c>
      <c r="AP8" s="171">
        <v>9.5</v>
      </c>
      <c r="AQ8" s="9"/>
      <c r="AR8" s="9"/>
      <c r="AS8" s="156"/>
      <c r="AT8" s="456"/>
      <c r="AU8" s="452"/>
      <c r="AV8" s="433"/>
    </row>
    <row r="9" spans="2:48" ht="15.75" thickBot="1">
      <c r="B9" s="414">
        <v>6</v>
      </c>
      <c r="C9" s="379">
        <v>22</v>
      </c>
      <c r="D9" s="379">
        <v>12</v>
      </c>
      <c r="E9" s="430"/>
      <c r="F9" s="262">
        <f>SMALL(C4:C23,6)</f>
        <v>4</v>
      </c>
      <c r="G9" s="10">
        <f>SMALL(D4:D23,6)</f>
        <v>8</v>
      </c>
      <c r="H9" s="9"/>
      <c r="I9" s="10">
        <f>RANK(F9,F4:G23,1)</f>
        <v>7</v>
      </c>
      <c r="J9" s="10">
        <f>RANK(G9,F4:G23,1)</f>
        <v>12</v>
      </c>
      <c r="K9" s="308"/>
      <c r="L9" s="10">
        <v>8</v>
      </c>
      <c r="M9" s="10">
        <v>11.5</v>
      </c>
      <c r="N9" s="308"/>
      <c r="O9" s="308"/>
      <c r="Q9" s="183"/>
      <c r="R9" s="184"/>
      <c r="T9" s="186"/>
      <c r="AE9" s="414">
        <v>6</v>
      </c>
      <c r="AF9" s="453">
        <v>25</v>
      </c>
      <c r="AG9" s="453">
        <v>12</v>
      </c>
      <c r="AH9" s="454"/>
      <c r="AI9" s="455">
        <f>SMALL(AF4:AF23,6)</f>
        <v>19</v>
      </c>
      <c r="AJ9" s="171">
        <f>SMALL(AG4:AG23,6)</f>
        <v>11</v>
      </c>
      <c r="AK9" s="9"/>
      <c r="AL9" s="171">
        <f>RANK(AI9,AI4:AJ23,1)</f>
        <v>16</v>
      </c>
      <c r="AM9" s="171">
        <f>RANK(AJ9,AI4:AJ23,1)</f>
        <v>8</v>
      </c>
      <c r="AN9" s="9"/>
      <c r="AO9" s="171">
        <f t="shared" si="0"/>
        <v>16</v>
      </c>
      <c r="AP9" s="171">
        <v>9.5</v>
      </c>
      <c r="AQ9" s="9"/>
      <c r="AR9" s="9"/>
      <c r="AS9" s="156"/>
      <c r="AT9" s="456"/>
      <c r="AU9" s="452"/>
      <c r="AV9" s="433"/>
    </row>
    <row r="10" spans="2:48" ht="15.75" thickBot="1">
      <c r="B10" s="414">
        <v>7</v>
      </c>
      <c r="C10" s="379">
        <v>24</v>
      </c>
      <c r="D10" s="379">
        <v>11</v>
      </c>
      <c r="E10" s="430"/>
      <c r="F10" s="262">
        <f>SMALL(C4:C23,7)</f>
        <v>6</v>
      </c>
      <c r="G10" s="10">
        <f>SMALL(D4:D23,7)</f>
        <v>9</v>
      </c>
      <c r="H10" s="9"/>
      <c r="I10" s="10">
        <f>RANK(F10,F4:G23,1)</f>
        <v>10</v>
      </c>
      <c r="J10" s="10">
        <f>RANK(G10,F4:G23,1)</f>
        <v>14</v>
      </c>
      <c r="K10" s="308"/>
      <c r="L10" s="10">
        <f aca="true" t="shared" si="3" ref="L10:L23">I10</f>
        <v>10</v>
      </c>
      <c r="M10" s="10">
        <v>14.5</v>
      </c>
      <c r="N10" s="308"/>
      <c r="O10" s="308" t="s">
        <v>401</v>
      </c>
      <c r="Q10" s="183"/>
      <c r="R10" s="184"/>
      <c r="T10" s="186"/>
      <c r="AE10" s="414">
        <v>7</v>
      </c>
      <c r="AF10" s="453">
        <v>2</v>
      </c>
      <c r="AG10" s="453">
        <v>11</v>
      </c>
      <c r="AH10" s="454"/>
      <c r="AI10" s="455">
        <f>SMALL(AF4:AF23,7)</f>
        <v>21</v>
      </c>
      <c r="AJ10" s="171">
        <f>SMALL(AG4:AG23,7)</f>
        <v>11</v>
      </c>
      <c r="AK10" s="9"/>
      <c r="AL10" s="171">
        <f>RANK(AI10,AI4:AJ23,1)</f>
        <v>17</v>
      </c>
      <c r="AM10" s="171">
        <f>RANK(AJ10,AI4:AJ23,1)</f>
        <v>8</v>
      </c>
      <c r="AN10" s="9"/>
      <c r="AO10" s="171">
        <f t="shared" si="0"/>
        <v>17</v>
      </c>
      <c r="AP10" s="171">
        <v>9.5</v>
      </c>
      <c r="AQ10" s="9"/>
      <c r="AR10" s="9" t="s">
        <v>401</v>
      </c>
      <c r="AS10" s="156"/>
      <c r="AT10" s="456"/>
      <c r="AU10" s="452"/>
      <c r="AV10" s="433"/>
    </row>
    <row r="11" spans="2:48" ht="15.75" thickBot="1">
      <c r="B11" s="414">
        <v>8</v>
      </c>
      <c r="C11" s="379">
        <v>17</v>
      </c>
      <c r="D11" s="379">
        <v>8</v>
      </c>
      <c r="E11" s="430"/>
      <c r="F11" s="262">
        <f>SMALL(C4:C23,8)</f>
        <v>10</v>
      </c>
      <c r="G11" s="10">
        <f>SMALL(D4:D23,8)</f>
        <v>9</v>
      </c>
      <c r="H11" s="9"/>
      <c r="I11" s="10">
        <f>RANK(F11,F4:G23,1)</f>
        <v>16</v>
      </c>
      <c r="J11" s="10">
        <f>RANK(G11,F4:G23,1)</f>
        <v>14</v>
      </c>
      <c r="K11" s="308"/>
      <c r="L11" s="10">
        <f t="shared" si="3"/>
        <v>16</v>
      </c>
      <c r="M11" s="10">
        <v>14.5</v>
      </c>
      <c r="N11" s="308"/>
      <c r="O11" s="10">
        <f>AVERAGE(D4:D23)</f>
        <v>10.95</v>
      </c>
      <c r="Q11" s="183"/>
      <c r="R11" s="184"/>
      <c r="T11" s="186"/>
      <c r="AE11" s="414">
        <v>8</v>
      </c>
      <c r="AF11" s="453">
        <v>14</v>
      </c>
      <c r="AG11" s="453">
        <v>11</v>
      </c>
      <c r="AH11" s="454"/>
      <c r="AI11" s="455">
        <f>SMALL(AF4:AF23,8)</f>
        <v>25</v>
      </c>
      <c r="AJ11" s="171">
        <f>SMALL(AG4:AG23,8)</f>
        <v>11</v>
      </c>
      <c r="AK11" s="9"/>
      <c r="AL11" s="171">
        <f>RANK(AI11,AI4:AJ23,1)</f>
        <v>18</v>
      </c>
      <c r="AM11" s="171">
        <f>RANK(AJ11,AI4:AJ23,1)</f>
        <v>8</v>
      </c>
      <c r="AN11" s="9"/>
      <c r="AO11" s="171">
        <v>18.5</v>
      </c>
      <c r="AP11" s="171">
        <v>9.5</v>
      </c>
      <c r="AQ11" s="9"/>
      <c r="AR11" s="171">
        <f>AVERAGE(AG4:AG23)</f>
        <v>11.545454545454545</v>
      </c>
      <c r="AS11" s="156"/>
      <c r="AT11" s="456"/>
      <c r="AU11" s="452"/>
      <c r="AV11" s="433"/>
    </row>
    <row r="12" spans="2:48" ht="15.75" thickBot="1">
      <c r="B12" s="414">
        <v>9</v>
      </c>
      <c r="C12" s="379">
        <v>12</v>
      </c>
      <c r="D12" s="379">
        <v>15</v>
      </c>
      <c r="E12" s="430"/>
      <c r="F12" s="262">
        <f>SMALL(C4:C23,9)</f>
        <v>11</v>
      </c>
      <c r="G12" s="10">
        <f>SMALL(D4:D23,9)</f>
        <v>10</v>
      </c>
      <c r="H12" s="9"/>
      <c r="I12" s="10">
        <f>RANK(F12,F4:G23,1)</f>
        <v>21</v>
      </c>
      <c r="J12" s="10">
        <f>RANK(G12,F4:G23,1)</f>
        <v>16</v>
      </c>
      <c r="K12" s="308"/>
      <c r="L12" s="10">
        <f t="shared" si="3"/>
        <v>21</v>
      </c>
      <c r="M12" s="10">
        <v>17.5</v>
      </c>
      <c r="N12" s="308"/>
      <c r="O12" s="308" t="s">
        <v>402</v>
      </c>
      <c r="Q12" s="186"/>
      <c r="R12" s="186"/>
      <c r="T12" s="186"/>
      <c r="AE12" s="414">
        <v>9</v>
      </c>
      <c r="AF12" s="453">
        <v>19</v>
      </c>
      <c r="AG12" s="453">
        <v>11</v>
      </c>
      <c r="AH12" s="454"/>
      <c r="AI12" s="455">
        <f>SMALL(AF4:AF23,9)</f>
        <v>26</v>
      </c>
      <c r="AJ12" s="171">
        <f>SMALL(AG4:AG23,9)</f>
        <v>12</v>
      </c>
      <c r="AK12" s="9"/>
      <c r="AL12" s="171">
        <f>RANK(AI12,AI4:AJ23,1)</f>
        <v>20</v>
      </c>
      <c r="AM12" s="171">
        <f>RANK(AJ12,AI4:AJ23,1)</f>
        <v>12</v>
      </c>
      <c r="AN12" s="9"/>
      <c r="AO12" s="171">
        <f t="shared" si="0"/>
        <v>20</v>
      </c>
      <c r="AP12" s="171">
        <v>12.5</v>
      </c>
      <c r="AQ12" s="9"/>
      <c r="AR12" s="9" t="s">
        <v>402</v>
      </c>
      <c r="AS12" s="156"/>
      <c r="AT12" s="451"/>
      <c r="AU12" s="451"/>
      <c r="AV12" s="433"/>
    </row>
    <row r="13" spans="2:48" ht="15.75" thickBot="1">
      <c r="B13" s="414">
        <v>10</v>
      </c>
      <c r="C13" s="379">
        <v>16</v>
      </c>
      <c r="D13" s="379">
        <v>18</v>
      </c>
      <c r="E13" s="430"/>
      <c r="F13" s="262">
        <f>SMALL(C4:C23,10)</f>
        <v>12</v>
      </c>
      <c r="G13" s="10">
        <f>SMALL(D4:D23,10)</f>
        <v>10</v>
      </c>
      <c r="H13" s="9"/>
      <c r="I13" s="10">
        <f>RANK(F13,F4:G23,1)</f>
        <v>23</v>
      </c>
      <c r="J13" s="10">
        <f>RANK(G13,F4:G23,1)</f>
        <v>16</v>
      </c>
      <c r="K13" s="308"/>
      <c r="L13" s="10">
        <v>23.5</v>
      </c>
      <c r="M13" s="10">
        <v>17.5</v>
      </c>
      <c r="N13" s="308"/>
      <c r="O13" s="10">
        <f>MEDIAN(D4:D23)</f>
        <v>10</v>
      </c>
      <c r="Q13" s="183"/>
      <c r="R13" s="184"/>
      <c r="T13" s="186"/>
      <c r="AE13" s="414">
        <v>10</v>
      </c>
      <c r="AF13" s="453">
        <v>21</v>
      </c>
      <c r="AG13" s="453">
        <v>18</v>
      </c>
      <c r="AH13" s="454"/>
      <c r="AI13" s="455">
        <f>SMALL(AF4:AF23,10)</f>
        <v>30</v>
      </c>
      <c r="AJ13" s="171">
        <f>SMALL(AG4:AG23,10)</f>
        <v>18</v>
      </c>
      <c r="AK13" s="9"/>
      <c r="AL13" s="171">
        <f>RANK(AI13,AI4:AJ23,1)</f>
        <v>21</v>
      </c>
      <c r="AM13" s="171">
        <f>RANK(AJ13,AI4:AJ23,1)</f>
        <v>15</v>
      </c>
      <c r="AN13" s="9"/>
      <c r="AO13" s="171">
        <f t="shared" si="0"/>
        <v>21</v>
      </c>
      <c r="AP13" s="171">
        <f t="shared" si="1"/>
        <v>15</v>
      </c>
      <c r="AQ13" s="9"/>
      <c r="AR13" s="171">
        <f>MEDIAN(AG4:AG23)</f>
        <v>11</v>
      </c>
      <c r="AS13" s="156"/>
      <c r="AT13" s="456"/>
      <c r="AU13" s="452"/>
      <c r="AV13" s="433"/>
    </row>
    <row r="14" spans="2:48" ht="15.75" thickBot="1">
      <c r="B14" s="414">
        <v>11</v>
      </c>
      <c r="C14" s="379">
        <v>26</v>
      </c>
      <c r="D14" s="379">
        <v>25</v>
      </c>
      <c r="E14" s="430"/>
      <c r="F14" s="262">
        <f>SMALL(C4:C23,11)</f>
        <v>12</v>
      </c>
      <c r="G14" s="10">
        <f>SMALL(D4:D23,11)</f>
        <v>10</v>
      </c>
      <c r="H14" s="9"/>
      <c r="I14" s="10">
        <f>RANK(F14,F4:G23,1)</f>
        <v>23</v>
      </c>
      <c r="J14" s="10">
        <f>RANK(G14,F4:G23,1)</f>
        <v>16</v>
      </c>
      <c r="K14" s="308"/>
      <c r="L14" s="10">
        <v>23.5</v>
      </c>
      <c r="M14" s="10">
        <v>17.5</v>
      </c>
      <c r="N14" s="308"/>
      <c r="O14" s="308"/>
      <c r="Q14" s="183"/>
      <c r="R14" s="184"/>
      <c r="T14" s="186"/>
      <c r="AE14" s="414">
        <v>11</v>
      </c>
      <c r="AF14" s="453"/>
      <c r="AG14" s="453">
        <v>25</v>
      </c>
      <c r="AH14" s="454"/>
      <c r="AI14" s="455"/>
      <c r="AJ14" s="171">
        <f>SMALL(AG4:AG23,11)</f>
        <v>25</v>
      </c>
      <c r="AK14" s="9"/>
      <c r="AL14" s="171"/>
      <c r="AM14" s="171">
        <f>RANK(AJ14,AI4:AJ23,1)</f>
        <v>18</v>
      </c>
      <c r="AN14" s="9"/>
      <c r="AO14" s="171"/>
      <c r="AP14" s="171">
        <v>18.5</v>
      </c>
      <c r="AQ14" s="9"/>
      <c r="AR14" s="9"/>
      <c r="AS14" s="156"/>
      <c r="AT14" s="456"/>
      <c r="AU14" s="452"/>
      <c r="AV14" s="433"/>
    </row>
    <row r="15" spans="2:48" ht="15.75" thickBot="1">
      <c r="B15" s="414">
        <v>12</v>
      </c>
      <c r="C15" s="379">
        <v>28</v>
      </c>
      <c r="D15" s="379">
        <v>8</v>
      </c>
      <c r="E15" s="430"/>
      <c r="F15" s="262">
        <f>SMALL(C4:C23,12)</f>
        <v>13</v>
      </c>
      <c r="G15" s="10">
        <f>SMALL(D4:D23,12)</f>
        <v>10</v>
      </c>
      <c r="H15" s="9"/>
      <c r="I15" s="10">
        <f>RANK(F15,F4:G23,1)</f>
        <v>26</v>
      </c>
      <c r="J15" s="10">
        <f>RANK(G15,F4:G23,1)</f>
        <v>16</v>
      </c>
      <c r="K15" s="308"/>
      <c r="L15" s="10">
        <f t="shared" si="3"/>
        <v>26</v>
      </c>
      <c r="M15" s="10">
        <v>17.5</v>
      </c>
      <c r="N15" s="308"/>
      <c r="O15" s="308"/>
      <c r="T15" s="186"/>
      <c r="AE15" s="414">
        <v>12</v>
      </c>
      <c r="AF15" s="453"/>
      <c r="AG15" s="453"/>
      <c r="AH15" s="454"/>
      <c r="AI15" s="455"/>
      <c r="AJ15" s="171"/>
      <c r="AK15" s="9"/>
      <c r="AL15" s="171"/>
      <c r="AM15" s="171"/>
      <c r="AN15" s="9"/>
      <c r="AO15" s="171"/>
      <c r="AP15" s="171"/>
      <c r="AQ15" s="9"/>
      <c r="AR15" s="9"/>
      <c r="AS15" s="156"/>
      <c r="AT15" s="448"/>
      <c r="AU15" s="448"/>
      <c r="AV15" s="433"/>
    </row>
    <row r="16" spans="2:48" ht="15.75" thickBot="1">
      <c r="B16" s="414">
        <v>13</v>
      </c>
      <c r="C16" s="379">
        <v>2</v>
      </c>
      <c r="D16" s="379">
        <v>3</v>
      </c>
      <c r="E16" s="430"/>
      <c r="F16" s="262">
        <f>SMALL(C4:C23,13)</f>
        <v>15</v>
      </c>
      <c r="G16" s="10">
        <f>SMALL(D4:D23,13)</f>
        <v>11</v>
      </c>
      <c r="H16" s="9"/>
      <c r="I16" s="10">
        <f>RANK(F16,F4:G23,1)</f>
        <v>28</v>
      </c>
      <c r="J16" s="10">
        <f>RANK(G16,F4:G23,1)</f>
        <v>21</v>
      </c>
      <c r="K16" s="308"/>
      <c r="L16" s="10">
        <f t="shared" si="3"/>
        <v>28</v>
      </c>
      <c r="M16" s="10">
        <f t="shared" si="2"/>
        <v>21</v>
      </c>
      <c r="N16" s="308"/>
      <c r="O16" s="308"/>
      <c r="T16" s="186"/>
      <c r="AE16" s="414">
        <v>13</v>
      </c>
      <c r="AF16" s="453"/>
      <c r="AG16" s="453"/>
      <c r="AH16" s="454"/>
      <c r="AI16" s="455"/>
      <c r="AJ16" s="171"/>
      <c r="AK16" s="9"/>
      <c r="AL16" s="171"/>
      <c r="AM16" s="171"/>
      <c r="AN16" s="9"/>
      <c r="AO16" s="171"/>
      <c r="AP16" s="171"/>
      <c r="AQ16" s="9"/>
      <c r="AR16" s="9"/>
      <c r="AS16" s="156"/>
      <c r="AT16" s="448"/>
      <c r="AU16" s="448"/>
      <c r="AV16" s="433"/>
    </row>
    <row r="17" spans="2:48" ht="15.75" thickBot="1">
      <c r="B17" s="414">
        <v>14</v>
      </c>
      <c r="C17" s="379">
        <v>12</v>
      </c>
      <c r="D17" s="379">
        <v>10</v>
      </c>
      <c r="E17" s="430"/>
      <c r="F17" s="262">
        <f>SMALL(C4:C23,14)</f>
        <v>16</v>
      </c>
      <c r="G17" s="10">
        <f>SMALL(D4:D23,14)</f>
        <v>12</v>
      </c>
      <c r="H17" s="9"/>
      <c r="I17" s="10">
        <f>RANK(F17,F4:G23,1)</f>
        <v>30</v>
      </c>
      <c r="J17" s="10">
        <f>RANK(G17,F4:G23,1)</f>
        <v>23</v>
      </c>
      <c r="K17" s="308"/>
      <c r="L17" s="10">
        <f t="shared" si="3"/>
        <v>30</v>
      </c>
      <c r="M17" s="10">
        <f t="shared" si="2"/>
        <v>23</v>
      </c>
      <c r="N17" s="308"/>
      <c r="O17" s="308"/>
      <c r="T17" s="186"/>
      <c r="AE17" s="414">
        <v>14</v>
      </c>
      <c r="AF17" s="453"/>
      <c r="AG17" s="453"/>
      <c r="AH17" s="454"/>
      <c r="AI17" s="455"/>
      <c r="AJ17" s="171"/>
      <c r="AK17" s="9"/>
      <c r="AL17" s="171"/>
      <c r="AM17" s="171"/>
      <c r="AN17" s="9"/>
      <c r="AO17" s="171"/>
      <c r="AP17" s="171"/>
      <c r="AQ17" s="9"/>
      <c r="AR17" s="9"/>
      <c r="AS17" s="156"/>
      <c r="AT17" s="448"/>
      <c r="AU17" s="448"/>
      <c r="AV17" s="433"/>
    </row>
    <row r="18" spans="2:48" ht="15.75" thickBot="1">
      <c r="B18" s="414">
        <v>15</v>
      </c>
      <c r="C18" s="379">
        <v>1</v>
      </c>
      <c r="D18" s="379">
        <v>10</v>
      </c>
      <c r="E18" s="430"/>
      <c r="F18" s="262">
        <f>SMALL(C4:C23,15)</f>
        <v>17</v>
      </c>
      <c r="G18" s="10">
        <f>SMALL(D4:D23,15)</f>
        <v>14</v>
      </c>
      <c r="H18" s="9"/>
      <c r="I18" s="10">
        <f>RANK(F18,F4:G23,1)</f>
        <v>32</v>
      </c>
      <c r="J18" s="10">
        <f>RANK(G18,F4:G23,1)</f>
        <v>27</v>
      </c>
      <c r="K18" s="308"/>
      <c r="L18" s="10">
        <v>32.5</v>
      </c>
      <c r="M18" s="10">
        <f t="shared" si="2"/>
        <v>27</v>
      </c>
      <c r="N18" s="308"/>
      <c r="O18" s="308"/>
      <c r="T18" s="186"/>
      <c r="AE18" s="414">
        <v>15</v>
      </c>
      <c r="AF18" s="453"/>
      <c r="AG18" s="453"/>
      <c r="AH18" s="454"/>
      <c r="AI18" s="455"/>
      <c r="AJ18" s="171"/>
      <c r="AK18" s="9"/>
      <c r="AL18" s="171"/>
      <c r="AM18" s="171"/>
      <c r="AN18" s="9"/>
      <c r="AO18" s="171"/>
      <c r="AP18" s="171"/>
      <c r="AQ18" s="9"/>
      <c r="AR18" s="9"/>
      <c r="AS18" s="156"/>
      <c r="AT18" s="448"/>
      <c r="AU18" s="448"/>
      <c r="AV18" s="433"/>
    </row>
    <row r="19" spans="2:48" ht="15.75" thickBot="1">
      <c r="B19" s="414">
        <v>16</v>
      </c>
      <c r="C19" s="379">
        <v>6</v>
      </c>
      <c r="D19" s="379">
        <v>9</v>
      </c>
      <c r="E19" s="430"/>
      <c r="F19" s="262">
        <f>SMALL(C4:C23,16)</f>
        <v>17</v>
      </c>
      <c r="G19" s="10">
        <f>SMALL(D4:D23,16)</f>
        <v>15</v>
      </c>
      <c r="H19" s="9"/>
      <c r="I19" s="10">
        <f>RANK(F19,F4:G23,1)</f>
        <v>32</v>
      </c>
      <c r="J19" s="10">
        <f>RANK(G19,F4:G23,1)</f>
        <v>28</v>
      </c>
      <c r="K19" s="308"/>
      <c r="L19" s="10">
        <v>32.5</v>
      </c>
      <c r="M19" s="10">
        <f t="shared" si="2"/>
        <v>28</v>
      </c>
      <c r="N19" s="308"/>
      <c r="O19" s="308"/>
      <c r="T19" s="186"/>
      <c r="AE19" s="414">
        <v>16</v>
      </c>
      <c r="AF19" s="453"/>
      <c r="AG19" s="453"/>
      <c r="AH19" s="454"/>
      <c r="AI19" s="455"/>
      <c r="AJ19" s="171"/>
      <c r="AK19" s="9"/>
      <c r="AL19" s="171"/>
      <c r="AM19" s="171"/>
      <c r="AN19" s="9"/>
      <c r="AO19" s="171"/>
      <c r="AP19" s="171"/>
      <c r="AQ19" s="9"/>
      <c r="AR19" s="9"/>
      <c r="AS19" s="156"/>
      <c r="AT19" s="448"/>
      <c r="AU19" s="448"/>
      <c r="AV19" s="433"/>
    </row>
    <row r="20" spans="2:48" ht="15.75" thickBot="1">
      <c r="B20" s="414">
        <v>17</v>
      </c>
      <c r="C20" s="379">
        <v>3</v>
      </c>
      <c r="D20" s="379">
        <v>10</v>
      </c>
      <c r="E20" s="430"/>
      <c r="F20" s="262">
        <f>SMALL(C4:C23,17)</f>
        <v>22</v>
      </c>
      <c r="G20" s="10">
        <f>SMALL(D4:D23,17)</f>
        <v>16</v>
      </c>
      <c r="H20" s="9"/>
      <c r="I20" s="10">
        <f>RANK(F20,F4:G23,1)</f>
        <v>36</v>
      </c>
      <c r="J20" s="10">
        <f>RANK(G20,F4:G23,1)</f>
        <v>30</v>
      </c>
      <c r="K20" s="308"/>
      <c r="L20" s="10">
        <f t="shared" si="3"/>
        <v>36</v>
      </c>
      <c r="M20" s="10">
        <f t="shared" si="2"/>
        <v>30</v>
      </c>
      <c r="N20" s="308"/>
      <c r="O20" s="308"/>
      <c r="T20" s="186"/>
      <c r="AE20" s="414">
        <v>17</v>
      </c>
      <c r="AF20" s="453"/>
      <c r="AG20" s="453"/>
      <c r="AH20" s="454"/>
      <c r="AI20" s="455"/>
      <c r="AJ20" s="171"/>
      <c r="AK20" s="9"/>
      <c r="AL20" s="171"/>
      <c r="AM20" s="171"/>
      <c r="AN20" s="9"/>
      <c r="AO20" s="171"/>
      <c r="AP20" s="171"/>
      <c r="AQ20" s="9"/>
      <c r="AR20" s="9"/>
      <c r="AS20" s="156"/>
      <c r="AT20" s="448"/>
      <c r="AU20" s="448"/>
      <c r="AV20" s="433"/>
    </row>
    <row r="21" spans="2:48" ht="15.75" thickBot="1">
      <c r="B21" s="414">
        <v>18</v>
      </c>
      <c r="C21" s="379">
        <v>4</v>
      </c>
      <c r="D21" s="379">
        <v>2</v>
      </c>
      <c r="E21" s="430"/>
      <c r="F21" s="262">
        <f>SMALL(C4:C23,18)</f>
        <v>24</v>
      </c>
      <c r="G21" s="10">
        <f>SMALL(D4:D23,18)</f>
        <v>18</v>
      </c>
      <c r="H21" s="9"/>
      <c r="I21" s="10">
        <f>RANK(F21,F4:G23,1)</f>
        <v>37</v>
      </c>
      <c r="J21" s="10">
        <f>RANK(G21,F4:G23,1)</f>
        <v>34</v>
      </c>
      <c r="K21" s="308"/>
      <c r="L21" s="10">
        <f t="shared" si="3"/>
        <v>37</v>
      </c>
      <c r="M21" s="10">
        <f t="shared" si="2"/>
        <v>34</v>
      </c>
      <c r="N21" s="308"/>
      <c r="O21" s="308"/>
      <c r="T21" s="186"/>
      <c r="AE21" s="414">
        <v>18</v>
      </c>
      <c r="AF21" s="453"/>
      <c r="AG21" s="453"/>
      <c r="AH21" s="454"/>
      <c r="AI21" s="455"/>
      <c r="AJ21" s="171"/>
      <c r="AK21" s="9"/>
      <c r="AL21" s="171"/>
      <c r="AM21" s="171"/>
      <c r="AN21" s="9"/>
      <c r="AO21" s="171"/>
      <c r="AP21" s="171"/>
      <c r="AQ21" s="9"/>
      <c r="AR21" s="9"/>
      <c r="AS21" s="156"/>
      <c r="AT21" s="448"/>
      <c r="AU21" s="448"/>
      <c r="AV21" s="433"/>
    </row>
    <row r="22" spans="2:48" ht="15">
      <c r="B22" s="414">
        <v>19</v>
      </c>
      <c r="C22" s="434">
        <v>4</v>
      </c>
      <c r="D22" s="434">
        <v>4</v>
      </c>
      <c r="E22" s="430"/>
      <c r="F22" s="393">
        <f>SMALL(C4:C23,19)</f>
        <v>26</v>
      </c>
      <c r="G22" s="394">
        <f>SMALL(D4:D23,19)</f>
        <v>19</v>
      </c>
      <c r="H22" s="9"/>
      <c r="I22" s="394">
        <f>RANK(F22,F4:G23,1)</f>
        <v>39</v>
      </c>
      <c r="J22" s="394">
        <f>RANK(G22,F4:G23,1)</f>
        <v>35</v>
      </c>
      <c r="K22" s="308"/>
      <c r="L22" s="10">
        <f t="shared" si="3"/>
        <v>39</v>
      </c>
      <c r="M22" s="10">
        <f t="shared" si="2"/>
        <v>35</v>
      </c>
      <c r="N22" s="308"/>
      <c r="O22" s="308"/>
      <c r="T22" s="186"/>
      <c r="AE22" s="414">
        <v>19</v>
      </c>
      <c r="AF22" s="457"/>
      <c r="AG22" s="457"/>
      <c r="AH22" s="454"/>
      <c r="AI22" s="458"/>
      <c r="AJ22" s="257"/>
      <c r="AK22" s="9"/>
      <c r="AL22" s="257"/>
      <c r="AM22" s="257"/>
      <c r="AN22" s="9"/>
      <c r="AO22" s="171"/>
      <c r="AP22" s="171"/>
      <c r="AQ22" s="9"/>
      <c r="AR22" s="9"/>
      <c r="AS22" s="156"/>
      <c r="AT22" s="448"/>
      <c r="AU22" s="448"/>
      <c r="AV22" s="433"/>
    </row>
    <row r="23" spans="2:48" ht="15">
      <c r="B23" s="414">
        <v>20</v>
      </c>
      <c r="C23" s="292">
        <v>10</v>
      </c>
      <c r="D23" s="292">
        <v>6</v>
      </c>
      <c r="E23" s="308"/>
      <c r="F23" s="10">
        <f>SMALL(C4:C23,20)</f>
        <v>28</v>
      </c>
      <c r="G23" s="10">
        <f>SMALL(D4:D23,20)</f>
        <v>25</v>
      </c>
      <c r="H23" s="9"/>
      <c r="I23" s="10">
        <f>RANK(F23,F4:G23,1)</f>
        <v>40</v>
      </c>
      <c r="J23" s="10">
        <f>RANK(G23,F4:G23,1)</f>
        <v>38</v>
      </c>
      <c r="K23" s="308"/>
      <c r="L23" s="10">
        <f t="shared" si="3"/>
        <v>40</v>
      </c>
      <c r="M23" s="10">
        <f t="shared" si="2"/>
        <v>38</v>
      </c>
      <c r="N23" s="308"/>
      <c r="O23" s="308"/>
      <c r="T23" s="186"/>
      <c r="AE23" s="414">
        <v>20</v>
      </c>
      <c r="AF23" s="171"/>
      <c r="AG23" s="171"/>
      <c r="AH23" s="9"/>
      <c r="AI23" s="171"/>
      <c r="AJ23" s="171"/>
      <c r="AK23" s="9"/>
      <c r="AL23" s="171"/>
      <c r="AM23" s="171"/>
      <c r="AN23" s="9"/>
      <c r="AO23" s="171"/>
      <c r="AP23" s="171"/>
      <c r="AQ23" s="9"/>
      <c r="AR23" s="9"/>
      <c r="AS23" s="156"/>
      <c r="AT23" s="448"/>
      <c r="AU23" s="448"/>
      <c r="AV23" s="433"/>
    </row>
    <row r="24" spans="2:48" ht="15">
      <c r="B24" s="435"/>
      <c r="C24" s="308"/>
      <c r="D24" s="308"/>
      <c r="E24" s="308"/>
      <c r="F24" s="308"/>
      <c r="G24" s="308"/>
      <c r="H24" s="308"/>
      <c r="I24" s="308"/>
      <c r="J24" s="308"/>
      <c r="K24" s="308"/>
      <c r="L24" s="308"/>
      <c r="M24" s="308"/>
      <c r="N24" s="308"/>
      <c r="O24" s="308"/>
      <c r="T24" s="186"/>
      <c r="AE24" s="414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156"/>
      <c r="AT24" s="448"/>
      <c r="AU24" s="448"/>
      <c r="AV24" s="433"/>
    </row>
    <row r="25" spans="2:48" ht="15.75">
      <c r="B25" s="435"/>
      <c r="C25" s="308"/>
      <c r="D25" s="308"/>
      <c r="E25" s="308"/>
      <c r="L25" s="442" t="s">
        <v>395</v>
      </c>
      <c r="M25" s="442"/>
      <c r="N25" s="429"/>
      <c r="O25" s="429"/>
      <c r="P25" s="445" t="s">
        <v>394</v>
      </c>
      <c r="AE25" s="414"/>
      <c r="AF25" s="9"/>
      <c r="AG25" s="9"/>
      <c r="AH25" s="9"/>
      <c r="AI25" s="156"/>
      <c r="AJ25" s="156"/>
      <c r="AK25" s="156"/>
      <c r="AL25" s="156"/>
      <c r="AM25" s="156"/>
      <c r="AN25" s="156"/>
      <c r="AO25" s="447" t="s">
        <v>395</v>
      </c>
      <c r="AP25" s="447"/>
      <c r="AQ25" s="411"/>
      <c r="AR25" s="411"/>
      <c r="AS25" s="447" t="s">
        <v>394</v>
      </c>
      <c r="AT25" s="448"/>
      <c r="AU25" s="448"/>
      <c r="AV25" s="433"/>
    </row>
    <row r="26" spans="2:48" ht="15">
      <c r="B26" s="435"/>
      <c r="C26" s="308"/>
      <c r="D26" s="308"/>
      <c r="E26" s="308"/>
      <c r="F26" s="308"/>
      <c r="G26" s="308"/>
      <c r="K26" s="5"/>
      <c r="L26" s="195" t="s">
        <v>381</v>
      </c>
      <c r="M26" s="195" t="s">
        <v>382</v>
      </c>
      <c r="N26" s="308"/>
      <c r="O26" s="308"/>
      <c r="P26" s="195" t="s">
        <v>381</v>
      </c>
      <c r="Q26" s="195" t="s">
        <v>382</v>
      </c>
      <c r="AE26" s="414"/>
      <c r="AF26" s="9"/>
      <c r="AG26" s="9"/>
      <c r="AH26" s="9"/>
      <c r="AI26" s="9"/>
      <c r="AJ26" s="9"/>
      <c r="AK26" s="156"/>
      <c r="AL26" s="156"/>
      <c r="AM26" s="156"/>
      <c r="AN26" s="448"/>
      <c r="AO26" s="459" t="s">
        <v>381</v>
      </c>
      <c r="AP26" s="459" t="s">
        <v>382</v>
      </c>
      <c r="AQ26" s="9"/>
      <c r="AR26" s="9"/>
      <c r="AS26" s="459" t="s">
        <v>381</v>
      </c>
      <c r="AT26" s="459" t="s">
        <v>382</v>
      </c>
      <c r="AU26" s="448"/>
      <c r="AV26" s="433"/>
    </row>
    <row r="27" spans="2:48" ht="15">
      <c r="B27" s="435"/>
      <c r="C27" s="308"/>
      <c r="D27" s="308"/>
      <c r="E27" s="308"/>
      <c r="F27" s="308"/>
      <c r="G27" s="308"/>
      <c r="K27" s="432" t="s">
        <v>396</v>
      </c>
      <c r="L27" s="203">
        <f>COUNT(L4:L23)</f>
        <v>20</v>
      </c>
      <c r="M27" s="203">
        <f>COUNT(M4:M23)</f>
        <v>20</v>
      </c>
      <c r="N27" s="308"/>
      <c r="O27" s="432" t="s">
        <v>396</v>
      </c>
      <c r="P27" s="203">
        <f>L27</f>
        <v>20</v>
      </c>
      <c r="Q27" s="203">
        <f>M27</f>
        <v>20</v>
      </c>
      <c r="AE27" s="414"/>
      <c r="AF27" s="9"/>
      <c r="AG27" s="9"/>
      <c r="AH27" s="9"/>
      <c r="AI27" s="9"/>
      <c r="AJ27" s="9"/>
      <c r="AK27" s="156"/>
      <c r="AL27" s="156"/>
      <c r="AM27" s="156"/>
      <c r="AN27" s="460" t="s">
        <v>396</v>
      </c>
      <c r="AO27" s="461">
        <f>COUNT(AO4:AO23)</f>
        <v>10</v>
      </c>
      <c r="AP27" s="461">
        <f>COUNT(AP4:AP23)</f>
        <v>11</v>
      </c>
      <c r="AQ27" s="9"/>
      <c r="AR27" s="460" t="s">
        <v>396</v>
      </c>
      <c r="AS27" s="461">
        <f>AO27</f>
        <v>10</v>
      </c>
      <c r="AT27" s="461">
        <f>AP27</f>
        <v>11</v>
      </c>
      <c r="AU27" s="448"/>
      <c r="AV27" s="433"/>
    </row>
    <row r="28" spans="2:48" ht="15">
      <c r="B28" s="435"/>
      <c r="C28" s="308"/>
      <c r="D28" s="308"/>
      <c r="E28" s="308"/>
      <c r="F28" s="308"/>
      <c r="G28" s="308"/>
      <c r="K28" s="432" t="s">
        <v>392</v>
      </c>
      <c r="L28" s="203">
        <f>SUM(L4:L23)</f>
        <v>423.5</v>
      </c>
      <c r="M28" s="203">
        <f>SUM(M4:M23)</f>
        <v>384.5</v>
      </c>
      <c r="N28" s="308"/>
      <c r="O28" s="383" t="s">
        <v>393</v>
      </c>
      <c r="P28" s="203">
        <f>SUM(L4:L23)</f>
        <v>423.5</v>
      </c>
      <c r="Q28" s="203">
        <f>SUM(M4:M23)</f>
        <v>384.5</v>
      </c>
      <c r="AE28" s="414"/>
      <c r="AF28" s="9"/>
      <c r="AG28" s="9"/>
      <c r="AH28" s="9"/>
      <c r="AI28" s="9"/>
      <c r="AJ28" s="9"/>
      <c r="AK28" s="156"/>
      <c r="AL28" s="156"/>
      <c r="AM28" s="156"/>
      <c r="AN28" s="460" t="s">
        <v>392</v>
      </c>
      <c r="AO28" s="461">
        <f>SUM(AO4:AO23)</f>
        <v>127</v>
      </c>
      <c r="AP28" s="461">
        <f>SUM(AP4:AP23)</f>
        <v>104</v>
      </c>
      <c r="AQ28" s="9"/>
      <c r="AR28" s="173" t="s">
        <v>393</v>
      </c>
      <c r="AS28" s="461">
        <f>SUM(AO4:AO23)</f>
        <v>127</v>
      </c>
      <c r="AT28" s="461">
        <f>SUM(AP4:AP23)</f>
        <v>104</v>
      </c>
      <c r="AU28" s="448"/>
      <c r="AV28" s="433"/>
    </row>
    <row r="29" spans="2:48" ht="15">
      <c r="B29" s="435"/>
      <c r="C29" s="308"/>
      <c r="D29" s="308"/>
      <c r="E29" s="308"/>
      <c r="F29" s="308"/>
      <c r="G29" s="308"/>
      <c r="K29" s="308"/>
      <c r="L29" s="308"/>
      <c r="M29" s="308"/>
      <c r="N29" s="308"/>
      <c r="O29" s="308"/>
      <c r="P29" s="308"/>
      <c r="Q29" s="308"/>
      <c r="AE29" s="414"/>
      <c r="AF29" s="9"/>
      <c r="AG29" s="9"/>
      <c r="AH29" s="9"/>
      <c r="AI29" s="9"/>
      <c r="AJ29" s="9"/>
      <c r="AK29" s="156"/>
      <c r="AL29" s="156"/>
      <c r="AM29" s="156"/>
      <c r="AN29" s="9"/>
      <c r="AO29" s="9"/>
      <c r="AP29" s="9"/>
      <c r="AQ29" s="9"/>
      <c r="AR29" s="9"/>
      <c r="AS29" s="9"/>
      <c r="AT29" s="9"/>
      <c r="AU29" s="448"/>
      <c r="AV29" s="433"/>
    </row>
    <row r="30" spans="2:48" ht="15">
      <c r="B30" s="435"/>
      <c r="C30" s="308"/>
      <c r="D30" s="308"/>
      <c r="E30" s="308"/>
      <c r="F30" s="308"/>
      <c r="G30" s="308"/>
      <c r="K30" s="183" t="s">
        <v>390</v>
      </c>
      <c r="L30" s="203">
        <f>SUM(L27:M27)</f>
        <v>40</v>
      </c>
      <c r="M30" s="308"/>
      <c r="N30" s="308"/>
      <c r="O30" s="183" t="s">
        <v>390</v>
      </c>
      <c r="P30" s="203">
        <f>SUM(P27:Q27)</f>
        <v>40</v>
      </c>
      <c r="Q30" s="308"/>
      <c r="AE30" s="414"/>
      <c r="AF30" s="9"/>
      <c r="AG30" s="9"/>
      <c r="AH30" s="9"/>
      <c r="AI30" s="9"/>
      <c r="AJ30" s="9"/>
      <c r="AK30" s="156"/>
      <c r="AL30" s="156"/>
      <c r="AM30" s="156"/>
      <c r="AN30" s="456" t="s">
        <v>390</v>
      </c>
      <c r="AO30" s="461">
        <f>SUM(AO27:AP27)</f>
        <v>21</v>
      </c>
      <c r="AP30" s="9"/>
      <c r="AQ30" s="9"/>
      <c r="AR30" s="456" t="s">
        <v>390</v>
      </c>
      <c r="AS30" s="461">
        <f>SUM(AS27:AT27)</f>
        <v>21</v>
      </c>
      <c r="AT30" s="9"/>
      <c r="AU30" s="448"/>
      <c r="AV30" s="433"/>
    </row>
    <row r="31" spans="2:48" ht="15">
      <c r="B31" s="435"/>
      <c r="C31" s="308"/>
      <c r="D31" s="308"/>
      <c r="E31" s="308"/>
      <c r="F31" s="308"/>
      <c r="G31" s="308"/>
      <c r="K31" s="183" t="s">
        <v>397</v>
      </c>
      <c r="L31" s="203">
        <f>L28</f>
        <v>423.5</v>
      </c>
      <c r="M31" s="308"/>
      <c r="N31" s="308"/>
      <c r="O31" s="183" t="s">
        <v>398</v>
      </c>
      <c r="P31" s="203">
        <f>Q28</f>
        <v>384.5</v>
      </c>
      <c r="Q31" s="308"/>
      <c r="AE31" s="414"/>
      <c r="AF31" s="9"/>
      <c r="AG31" s="9"/>
      <c r="AH31" s="9"/>
      <c r="AI31" s="9"/>
      <c r="AJ31" s="9"/>
      <c r="AK31" s="156"/>
      <c r="AL31" s="156"/>
      <c r="AM31" s="156"/>
      <c r="AN31" s="456" t="s">
        <v>397</v>
      </c>
      <c r="AO31" s="461">
        <f>AO28</f>
        <v>127</v>
      </c>
      <c r="AP31" s="9"/>
      <c r="AQ31" s="9"/>
      <c r="AR31" s="456" t="s">
        <v>398</v>
      </c>
      <c r="AS31" s="461">
        <f>AT28</f>
        <v>104</v>
      </c>
      <c r="AT31" s="9"/>
      <c r="AU31" s="448"/>
      <c r="AV31" s="433"/>
    </row>
    <row r="32" spans="2:48" ht="15">
      <c r="B32" s="435"/>
      <c r="C32" s="308"/>
      <c r="D32" s="308"/>
      <c r="E32" s="308"/>
      <c r="F32" s="308"/>
      <c r="G32" s="308"/>
      <c r="K32" s="183" t="s">
        <v>383</v>
      </c>
      <c r="L32" s="203">
        <f>L27*(L27+M27+1)/2</f>
        <v>410</v>
      </c>
      <c r="M32" s="308"/>
      <c r="N32" s="308"/>
      <c r="O32" s="183" t="s">
        <v>383</v>
      </c>
      <c r="P32" s="203">
        <f>Q27*(Q27+P27+1)/2</f>
        <v>410</v>
      </c>
      <c r="Q32" s="308"/>
      <c r="AE32" s="414"/>
      <c r="AF32" s="9"/>
      <c r="AG32" s="9"/>
      <c r="AH32" s="9"/>
      <c r="AI32" s="9"/>
      <c r="AJ32" s="9"/>
      <c r="AK32" s="156"/>
      <c r="AL32" s="156"/>
      <c r="AM32" s="156"/>
      <c r="AN32" s="456" t="s">
        <v>383</v>
      </c>
      <c r="AO32" s="461">
        <f>AO27*(AO27+AP27+1)/2</f>
        <v>110</v>
      </c>
      <c r="AP32" s="9"/>
      <c r="AQ32" s="9"/>
      <c r="AR32" s="456" t="s">
        <v>383</v>
      </c>
      <c r="AS32" s="461">
        <f>AT27*(AT27+AS27+1)/2</f>
        <v>121</v>
      </c>
      <c r="AT32" s="9"/>
      <c r="AU32" s="448"/>
      <c r="AV32" s="433"/>
    </row>
    <row r="33" spans="2:48" ht="15">
      <c r="B33" s="435"/>
      <c r="C33" s="308"/>
      <c r="D33" s="308"/>
      <c r="E33" s="308"/>
      <c r="F33" s="308"/>
      <c r="G33" s="308"/>
      <c r="K33" s="183" t="s">
        <v>384</v>
      </c>
      <c r="L33" s="443">
        <f>SQRT(L27*M27*(L27+M27+1)/12)</f>
        <v>36.968455021364726</v>
      </c>
      <c r="M33" s="308"/>
      <c r="N33" s="308"/>
      <c r="O33" s="183" t="s">
        <v>384</v>
      </c>
      <c r="P33" s="443">
        <f>SQRT(Q27*P27*(Q27+P27+1)/12)</f>
        <v>36.968455021364726</v>
      </c>
      <c r="Q33" s="308"/>
      <c r="AE33" s="414"/>
      <c r="AF33" s="9"/>
      <c r="AG33" s="9"/>
      <c r="AH33" s="9"/>
      <c r="AI33" s="9"/>
      <c r="AJ33" s="9"/>
      <c r="AK33" s="156"/>
      <c r="AL33" s="156"/>
      <c r="AM33" s="156"/>
      <c r="AN33" s="456" t="s">
        <v>384</v>
      </c>
      <c r="AO33" s="462">
        <f>SQRT(AO27*AP27*(AO27+AP27+1)/12)</f>
        <v>14.200938936093861</v>
      </c>
      <c r="AP33" s="9"/>
      <c r="AQ33" s="9"/>
      <c r="AR33" s="456" t="s">
        <v>384</v>
      </c>
      <c r="AS33" s="462">
        <f>SQRT(AT27*AS27*(AT27+AS27+1)/12)</f>
        <v>14.200938936093861</v>
      </c>
      <c r="AT33" s="9"/>
      <c r="AU33" s="448"/>
      <c r="AV33" s="433"/>
    </row>
    <row r="34" spans="2:48" ht="15">
      <c r="B34" s="435"/>
      <c r="C34" s="308"/>
      <c r="D34" s="308"/>
      <c r="E34" s="308"/>
      <c r="F34" s="308"/>
      <c r="G34" s="308"/>
      <c r="K34" s="5"/>
      <c r="L34" s="444"/>
      <c r="M34" s="308"/>
      <c r="N34" s="308"/>
      <c r="O34" s="308"/>
      <c r="P34" s="444"/>
      <c r="Q34" s="308"/>
      <c r="AE34" s="414"/>
      <c r="AF34" s="9"/>
      <c r="AG34" s="9"/>
      <c r="AH34" s="9"/>
      <c r="AI34" s="9"/>
      <c r="AJ34" s="9"/>
      <c r="AK34" s="156"/>
      <c r="AL34" s="156"/>
      <c r="AM34" s="156"/>
      <c r="AN34" s="448"/>
      <c r="AO34" s="463"/>
      <c r="AP34" s="9"/>
      <c r="AQ34" s="9"/>
      <c r="AR34" s="9"/>
      <c r="AS34" s="463"/>
      <c r="AT34" s="9"/>
      <c r="AU34" s="448"/>
      <c r="AV34" s="433"/>
    </row>
    <row r="35" spans="2:48" ht="15">
      <c r="B35" s="435"/>
      <c r="C35" s="308"/>
      <c r="D35" s="308"/>
      <c r="E35" s="308"/>
      <c r="F35" s="308"/>
      <c r="G35" s="308"/>
      <c r="K35" s="183" t="s">
        <v>385</v>
      </c>
      <c r="L35" s="443">
        <f>(L31-L32)/L33</f>
        <v>0.36517620204031004</v>
      </c>
      <c r="M35" s="308"/>
      <c r="N35" s="308"/>
      <c r="O35" s="183" t="s">
        <v>385</v>
      </c>
      <c r="P35" s="443">
        <f>(P31-P32)/P33</f>
        <v>-0.6897772705205857</v>
      </c>
      <c r="Q35" s="308"/>
      <c r="AE35" s="414"/>
      <c r="AF35" s="9"/>
      <c r="AG35" s="9"/>
      <c r="AH35" s="9"/>
      <c r="AI35" s="9"/>
      <c r="AJ35" s="9"/>
      <c r="AK35" s="156"/>
      <c r="AL35" s="156"/>
      <c r="AM35" s="156"/>
      <c r="AN35" s="456" t="s">
        <v>385</v>
      </c>
      <c r="AO35" s="462">
        <f>(AO31-AO32)/AO33</f>
        <v>1.1971039433732016</v>
      </c>
      <c r="AP35" s="9"/>
      <c r="AQ35" s="9"/>
      <c r="AR35" s="456" t="s">
        <v>385</v>
      </c>
      <c r="AS35" s="462">
        <f>(AS31-AS32)/AS33</f>
        <v>-1.1971039433732016</v>
      </c>
      <c r="AT35" s="9"/>
      <c r="AU35" s="448"/>
      <c r="AV35" s="433"/>
    </row>
    <row r="36" spans="2:48" ht="15">
      <c r="B36" s="435"/>
      <c r="C36" s="308"/>
      <c r="D36" s="308"/>
      <c r="E36" s="308"/>
      <c r="F36" s="308"/>
      <c r="G36" s="308"/>
      <c r="K36" s="183" t="s">
        <v>387</v>
      </c>
      <c r="L36" s="443">
        <f>NORMDIST(L35,0,1,0)</f>
        <v>0.37320949714126767</v>
      </c>
      <c r="M36" s="308"/>
      <c r="N36" s="308"/>
      <c r="O36" s="183" t="s">
        <v>387</v>
      </c>
      <c r="P36" s="443">
        <f>NORMDIST(P35,0,1,0)</f>
        <v>0.3144799758480768</v>
      </c>
      <c r="Q36" s="308"/>
      <c r="AE36" s="414"/>
      <c r="AF36" s="9"/>
      <c r="AG36" s="9"/>
      <c r="AH36" s="9"/>
      <c r="AI36" s="9"/>
      <c r="AJ36" s="9"/>
      <c r="AK36" s="156"/>
      <c r="AL36" s="156"/>
      <c r="AM36" s="156"/>
      <c r="AN36" s="456" t="s">
        <v>387</v>
      </c>
      <c r="AO36" s="462">
        <f>NORMDIST(AO35,0,1,0)</f>
        <v>0.19486126038981844</v>
      </c>
      <c r="AP36" s="9"/>
      <c r="AQ36" s="9"/>
      <c r="AR36" s="456" t="s">
        <v>387</v>
      </c>
      <c r="AS36" s="462">
        <f>NORMDIST(AS35,0,1,0)</f>
        <v>0.19486126038981844</v>
      </c>
      <c r="AT36" s="9"/>
      <c r="AU36" s="448"/>
      <c r="AV36" s="433"/>
    </row>
    <row r="37" spans="2:48" ht="15">
      <c r="B37" s="435"/>
      <c r="C37" s="308"/>
      <c r="D37" s="308"/>
      <c r="E37" s="308"/>
      <c r="F37" s="308"/>
      <c r="G37" s="308"/>
      <c r="H37" s="308"/>
      <c r="I37" s="308"/>
      <c r="J37" s="308"/>
      <c r="K37" s="308"/>
      <c r="L37" s="308"/>
      <c r="M37" s="308"/>
      <c r="N37" s="308"/>
      <c r="O37" s="308"/>
      <c r="AE37" s="414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156"/>
      <c r="AT37" s="448"/>
      <c r="AU37" s="448"/>
      <c r="AV37" s="433"/>
    </row>
    <row r="38" spans="2:48" ht="15">
      <c r="B38" s="435"/>
      <c r="C38" s="308"/>
      <c r="D38" s="308"/>
      <c r="E38" s="308"/>
      <c r="F38" s="308"/>
      <c r="G38" s="308"/>
      <c r="H38" s="308"/>
      <c r="I38" s="308"/>
      <c r="J38" s="308"/>
      <c r="K38" s="308"/>
      <c r="L38" s="308"/>
      <c r="M38" s="308"/>
      <c r="N38" s="308"/>
      <c r="O38" s="308"/>
      <c r="AE38" s="414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156"/>
      <c r="AT38" s="448"/>
      <c r="AU38" s="448"/>
      <c r="AV38" s="433"/>
    </row>
    <row r="39" spans="2:47" ht="15">
      <c r="B39" s="435"/>
      <c r="C39" s="308"/>
      <c r="D39" s="308"/>
      <c r="E39" s="308"/>
      <c r="F39" s="308"/>
      <c r="G39" s="308"/>
      <c r="H39" s="308"/>
      <c r="I39" s="308"/>
      <c r="J39" s="308"/>
      <c r="K39" s="308"/>
      <c r="L39" s="308"/>
      <c r="M39" s="308"/>
      <c r="N39" s="308"/>
      <c r="O39" s="308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  <c r="AU39" s="156"/>
    </row>
    <row r="40" spans="2:15" ht="15">
      <c r="B40" s="435"/>
      <c r="C40" s="308"/>
      <c r="D40" s="308"/>
      <c r="E40" s="308"/>
      <c r="F40" s="308"/>
      <c r="G40" s="308"/>
      <c r="H40" s="308"/>
      <c r="I40" s="308"/>
      <c r="J40" s="308"/>
      <c r="K40" s="308"/>
      <c r="L40" s="308"/>
      <c r="M40" s="308"/>
      <c r="N40" s="308"/>
      <c r="O40" s="308"/>
    </row>
    <row r="41" spans="2:15" ht="15">
      <c r="B41" s="435"/>
      <c r="C41" s="308"/>
      <c r="D41" s="308"/>
      <c r="E41" s="308"/>
      <c r="F41" s="308"/>
      <c r="G41" s="308"/>
      <c r="H41" s="308"/>
      <c r="I41" s="308"/>
      <c r="J41" s="308"/>
      <c r="K41" s="308"/>
      <c r="L41" s="308"/>
      <c r="M41" s="308"/>
      <c r="N41" s="308"/>
      <c r="O41" s="308"/>
    </row>
    <row r="42" spans="2:15" ht="15">
      <c r="B42" s="436"/>
      <c r="C42" s="308"/>
      <c r="D42" s="308"/>
      <c r="E42" s="308"/>
      <c r="F42" s="308"/>
      <c r="G42" s="308"/>
      <c r="H42" s="306"/>
      <c r="I42" s="308"/>
      <c r="J42" s="308"/>
      <c r="K42" s="308"/>
      <c r="L42" s="308"/>
      <c r="M42" s="308"/>
      <c r="N42" s="308"/>
      <c r="O42" s="308"/>
    </row>
    <row r="43" spans="2:15" ht="15">
      <c r="B43" s="436"/>
      <c r="C43" s="308"/>
      <c r="D43" s="308"/>
      <c r="E43" s="308"/>
      <c r="F43" s="308"/>
      <c r="G43" s="308"/>
      <c r="H43" s="306"/>
      <c r="I43" s="308"/>
      <c r="J43" s="308"/>
      <c r="K43" s="308"/>
      <c r="L43" s="308"/>
      <c r="M43" s="308"/>
      <c r="N43" s="308"/>
      <c r="O43" s="308"/>
    </row>
    <row r="44" spans="2:15" ht="15">
      <c r="B44" s="306"/>
      <c r="C44" s="306"/>
      <c r="D44" s="306"/>
      <c r="E44" s="306"/>
      <c r="F44" s="306"/>
      <c r="G44" s="306"/>
      <c r="H44" s="306"/>
      <c r="I44" s="306"/>
      <c r="J44" s="3"/>
      <c r="K44" s="3"/>
      <c r="L44" s="3"/>
      <c r="M44" s="3"/>
      <c r="N44" s="3"/>
      <c r="O44" s="3"/>
    </row>
    <row r="45" spans="2:9" ht="15">
      <c r="B45" s="427"/>
      <c r="C45" s="427"/>
      <c r="D45" s="427"/>
      <c r="E45" s="77"/>
      <c r="F45" s="427"/>
      <c r="G45" s="427"/>
      <c r="H45" s="427"/>
      <c r="I45" s="77"/>
    </row>
    <row r="46" spans="2:9" ht="15">
      <c r="B46" s="427"/>
      <c r="C46" s="427"/>
      <c r="D46" s="427"/>
      <c r="E46" s="77"/>
      <c r="F46" s="427"/>
      <c r="G46" s="427"/>
      <c r="H46" s="427"/>
      <c r="I46" s="77"/>
    </row>
    <row r="47" spans="2:9" ht="15">
      <c r="B47" s="427"/>
      <c r="C47" s="427"/>
      <c r="D47" s="427"/>
      <c r="E47" s="77"/>
      <c r="F47" s="427"/>
      <c r="G47" s="427"/>
      <c r="H47" s="427"/>
      <c r="I47" s="77"/>
    </row>
    <row r="48" spans="2:9" ht="15">
      <c r="B48" s="427"/>
      <c r="C48" s="427"/>
      <c r="D48" s="427"/>
      <c r="E48" s="77"/>
      <c r="F48" s="427"/>
      <c r="G48" s="427"/>
      <c r="H48" s="427"/>
      <c r="I48" s="77"/>
    </row>
    <row r="49" spans="2:9" ht="15">
      <c r="B49" s="427"/>
      <c r="C49" s="77"/>
      <c r="D49" s="77"/>
      <c r="E49" s="77"/>
      <c r="F49" s="77"/>
      <c r="G49" s="77"/>
      <c r="H49" s="427"/>
      <c r="I49" s="77"/>
    </row>
    <row r="50" spans="2:9" ht="15">
      <c r="B50" s="427"/>
      <c r="C50" s="77"/>
      <c r="D50" s="77"/>
      <c r="E50" s="77"/>
      <c r="F50" s="77"/>
      <c r="G50" s="77"/>
      <c r="H50" s="427"/>
      <c r="I50" s="77"/>
    </row>
    <row r="51" spans="2:9" ht="15">
      <c r="B51" s="427"/>
      <c r="C51" s="77"/>
      <c r="D51" s="77"/>
      <c r="E51" s="77"/>
      <c r="F51" s="77"/>
      <c r="G51" s="77"/>
      <c r="H51" s="427"/>
      <c r="I51" s="77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G52"/>
  <sheetViews>
    <sheetView zoomScale="86" zoomScaleNormal="86"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5" max="5" width="12.421875" style="0" customWidth="1"/>
    <col min="6" max="6" width="2.140625" style="433" customWidth="1"/>
    <col min="7" max="7" width="5.00390625" style="0" customWidth="1"/>
    <col min="10" max="10" width="2.140625" style="93" customWidth="1"/>
    <col min="12" max="12" width="1.8515625" style="93" customWidth="1"/>
    <col min="13" max="13" width="7.28125" style="93" customWidth="1"/>
    <col min="14" max="14" width="7.8515625" style="93" customWidth="1"/>
    <col min="15" max="15" width="2.7109375" style="93" customWidth="1"/>
    <col min="16" max="16" width="6.57421875" style="93" customWidth="1"/>
    <col min="17" max="17" width="8.7109375" style="93" customWidth="1"/>
    <col min="18" max="18" width="2.140625" style="3" customWidth="1"/>
    <col min="19" max="19" width="7.57421875" style="18" customWidth="1"/>
    <col min="20" max="20" width="8.28125" style="18" customWidth="1"/>
    <col min="21" max="21" width="9.00390625" style="18" customWidth="1"/>
    <col min="22" max="22" width="8.57421875" style="18" customWidth="1"/>
    <col min="23" max="23" width="13.57421875" style="18" customWidth="1"/>
    <col min="24" max="25" width="6.57421875" style="18" customWidth="1"/>
    <col min="26" max="26" width="7.421875" style="18" customWidth="1"/>
    <col min="27" max="27" width="6.57421875" style="18" customWidth="1"/>
    <col min="28" max="28" width="4.421875" style="18" customWidth="1"/>
    <col min="29" max="29" width="24.8515625" style="18" customWidth="1"/>
    <col min="30" max="30" width="5.140625" style="18" customWidth="1"/>
    <col min="31" max="31" width="7.28125" style="18" customWidth="1"/>
    <col min="32" max="32" width="2.57421875" style="18" customWidth="1"/>
    <col min="33" max="33" width="8.421875" style="18" customWidth="1"/>
    <col min="34" max="38" width="6.57421875" style="18" customWidth="1"/>
    <col min="39" max="39" width="5.140625" style="18" customWidth="1"/>
    <col min="40" max="40" width="9.00390625" style="18" customWidth="1"/>
    <col min="41" max="41" width="1.8515625" style="433" customWidth="1"/>
    <col min="42" max="42" width="1.1484375" style="433" customWidth="1"/>
    <col min="43" max="43" width="4.28125" style="0" customWidth="1"/>
    <col min="46" max="46" width="2.140625" style="93" customWidth="1"/>
    <col min="48" max="48" width="1.8515625" style="93" customWidth="1"/>
    <col min="49" max="49" width="7.28125" style="93" customWidth="1"/>
    <col min="50" max="50" width="7.8515625" style="93" customWidth="1"/>
    <col min="51" max="51" width="2.7109375" style="93" customWidth="1"/>
    <col min="52" max="53" width="6.57421875" style="93" customWidth="1"/>
    <col min="54" max="54" width="2.140625" style="3" customWidth="1"/>
    <col min="55" max="55" width="7.57421875" style="18" customWidth="1"/>
    <col min="56" max="56" width="8.28125" style="18" customWidth="1"/>
    <col min="57" max="57" width="9.7109375" style="18" customWidth="1"/>
    <col min="58" max="58" width="8.57421875" style="18" customWidth="1"/>
    <col min="59" max="59" width="19.28125" style="18" customWidth="1"/>
    <col min="60" max="61" width="6.57421875" style="18" customWidth="1"/>
    <col min="62" max="62" width="7.421875" style="18" customWidth="1"/>
    <col min="63" max="63" width="6.57421875" style="18" customWidth="1"/>
    <col min="64" max="64" width="4.421875" style="18" customWidth="1"/>
    <col min="65" max="65" width="20.28125" style="18" customWidth="1"/>
    <col min="66" max="66" width="3.140625" style="18" customWidth="1"/>
    <col min="67" max="67" width="1.7109375" style="18" customWidth="1"/>
    <col min="68" max="72" width="6.57421875" style="18" customWidth="1"/>
    <col min="73" max="73" width="21.00390625" style="18" customWidth="1"/>
    <col min="74" max="74" width="11.421875" style="18" customWidth="1"/>
    <col min="75" max="77" width="1.1484375" style="433" customWidth="1"/>
    <col min="78" max="78" width="4.28125" style="464" customWidth="1"/>
    <col min="79" max="80" width="9.140625" style="464" customWidth="1"/>
    <col min="81" max="81" width="2.140625" style="84" customWidth="1"/>
    <col min="82" max="82" width="7.28125" style="464" customWidth="1"/>
    <col min="83" max="83" width="1.8515625" style="84" customWidth="1"/>
    <col min="84" max="84" width="5.28125" style="84" customWidth="1"/>
    <col min="85" max="85" width="7.8515625" style="84" customWidth="1"/>
    <col min="86" max="86" width="2.7109375" style="84" customWidth="1"/>
    <col min="87" max="87" width="5.140625" style="84" customWidth="1"/>
    <col min="88" max="88" width="6.57421875" style="84" customWidth="1"/>
    <col min="89" max="89" width="2.140625" style="84" customWidth="1"/>
    <col min="90" max="90" width="4.421875" style="464" customWidth="1"/>
    <col min="91" max="91" width="8.28125" style="464" customWidth="1"/>
    <col min="92" max="92" width="9.7109375" style="464" customWidth="1"/>
    <col min="93" max="93" width="6.00390625" style="464" customWidth="1"/>
    <col min="94" max="94" width="19.28125" style="464" customWidth="1"/>
    <col min="95" max="96" width="6.57421875" style="464" customWidth="1"/>
    <col min="97" max="97" width="7.421875" style="464" customWidth="1"/>
    <col min="98" max="98" width="6.57421875" style="464" customWidth="1"/>
    <col min="99" max="99" width="4.421875" style="464" customWidth="1"/>
    <col min="100" max="100" width="9.00390625" style="464" customWidth="1"/>
    <col min="101" max="101" width="0.71875" style="464" customWidth="1"/>
    <col min="102" max="102" width="0.9921875" style="464" customWidth="1"/>
    <col min="103" max="107" width="6.57421875" style="464" customWidth="1"/>
    <col min="108" max="108" width="21.00390625" style="464" customWidth="1"/>
    <col min="109" max="109" width="9.421875" style="464" customWidth="1"/>
    <col min="110" max="111" width="1.1484375" style="433" customWidth="1"/>
  </cols>
  <sheetData>
    <row r="1" spans="1:95" ht="23.25">
      <c r="A1" s="431" t="s">
        <v>443</v>
      </c>
      <c r="B1" s="431" t="s">
        <v>444</v>
      </c>
      <c r="G1" s="18"/>
      <c r="H1" s="437" t="s">
        <v>391</v>
      </c>
      <c r="I1" s="18"/>
      <c r="J1" s="3"/>
      <c r="K1" s="18"/>
      <c r="L1" s="3"/>
      <c r="M1" s="3"/>
      <c r="N1" s="3"/>
      <c r="O1" s="3"/>
      <c r="P1" s="3"/>
      <c r="Q1" s="3"/>
      <c r="V1" s="437" t="s">
        <v>427</v>
      </c>
      <c r="AQ1" s="18"/>
      <c r="AR1" s="437" t="s">
        <v>391</v>
      </c>
      <c r="AS1" s="18"/>
      <c r="AT1" s="3"/>
      <c r="AU1" s="18"/>
      <c r="AV1" s="3"/>
      <c r="AW1" s="3"/>
      <c r="AX1" s="3"/>
      <c r="AY1" s="3"/>
      <c r="AZ1" s="3"/>
      <c r="BA1" s="3"/>
      <c r="BH1" s="437" t="s">
        <v>428</v>
      </c>
      <c r="CA1" s="446"/>
      <c r="CQ1" s="446"/>
    </row>
    <row r="2" spans="1:111" ht="15.75" customHeight="1">
      <c r="A2" s="431" t="s">
        <v>445</v>
      </c>
      <c r="F2" s="439"/>
      <c r="G2" s="441"/>
      <c r="H2" s="3"/>
      <c r="I2" s="441"/>
      <c r="J2" s="441"/>
      <c r="K2" s="441"/>
      <c r="L2" s="441"/>
      <c r="M2" s="469" t="s">
        <v>409</v>
      </c>
      <c r="N2" s="441"/>
      <c r="O2" s="441"/>
      <c r="P2" s="441"/>
      <c r="Q2" s="441"/>
      <c r="R2" s="441"/>
      <c r="S2" s="490" t="s">
        <v>410</v>
      </c>
      <c r="T2" s="490"/>
      <c r="U2" s="493"/>
      <c r="V2" s="441"/>
      <c r="W2" s="441"/>
      <c r="X2" s="441"/>
      <c r="Y2" s="441"/>
      <c r="Z2" s="441"/>
      <c r="AA2" s="441"/>
      <c r="AB2" s="441"/>
      <c r="AC2" s="441"/>
      <c r="AD2" s="441"/>
      <c r="AE2" s="441"/>
      <c r="AF2" s="441"/>
      <c r="AG2" s="441"/>
      <c r="AH2" s="441"/>
      <c r="AI2" s="441"/>
      <c r="AJ2" s="441"/>
      <c r="AK2" s="441"/>
      <c r="AL2" s="441"/>
      <c r="AM2" s="441"/>
      <c r="AN2" s="441"/>
      <c r="AO2" s="475"/>
      <c r="AP2" s="439"/>
      <c r="AQ2" s="441"/>
      <c r="AR2" s="3"/>
      <c r="AS2" s="441"/>
      <c r="AT2" s="441"/>
      <c r="AU2" s="441"/>
      <c r="AV2" s="441"/>
      <c r="AW2" s="469"/>
      <c r="AX2" s="441"/>
      <c r="AY2" s="441"/>
      <c r="AZ2" s="441"/>
      <c r="BA2" s="441"/>
      <c r="BB2" s="441"/>
      <c r="BC2" s="490" t="s">
        <v>410</v>
      </c>
      <c r="BD2" s="490"/>
      <c r="BE2" s="493"/>
      <c r="BF2" s="441"/>
      <c r="BG2" s="441"/>
      <c r="BH2" s="441"/>
      <c r="BI2" s="441"/>
      <c r="BJ2" s="441"/>
      <c r="BK2" s="441"/>
      <c r="BL2" s="441"/>
      <c r="BM2" s="441"/>
      <c r="BN2" s="441"/>
      <c r="BO2" s="441"/>
      <c r="BP2" s="441"/>
      <c r="BQ2" s="441"/>
      <c r="BR2" s="441"/>
      <c r="BS2" s="441"/>
      <c r="BT2" s="441"/>
      <c r="BU2" s="441"/>
      <c r="BV2" s="441"/>
      <c r="BW2" s="439"/>
      <c r="BX2" s="439"/>
      <c r="BY2" s="439"/>
      <c r="BZ2" s="494"/>
      <c r="CA2" s="84"/>
      <c r="CB2" s="494"/>
      <c r="CC2" s="494"/>
      <c r="CD2" s="494"/>
      <c r="CE2" s="494"/>
      <c r="CF2" s="495"/>
      <c r="CG2" s="494"/>
      <c r="CH2" s="494"/>
      <c r="CI2" s="494"/>
      <c r="CJ2" s="494"/>
      <c r="CK2" s="494"/>
      <c r="CL2" s="496" t="s">
        <v>410</v>
      </c>
      <c r="CM2" s="496"/>
      <c r="CN2" s="494"/>
      <c r="CO2" s="494"/>
      <c r="CP2" s="494"/>
      <c r="CQ2" s="494"/>
      <c r="CR2" s="494"/>
      <c r="CS2" s="494"/>
      <c r="CT2" s="494"/>
      <c r="CU2" s="494"/>
      <c r="CV2" s="494"/>
      <c r="CW2" s="494"/>
      <c r="CX2" s="494"/>
      <c r="CY2" s="494"/>
      <c r="CZ2" s="494"/>
      <c r="DA2" s="494"/>
      <c r="DB2" s="494"/>
      <c r="DC2" s="494"/>
      <c r="DD2" s="494"/>
      <c r="DE2" s="494"/>
      <c r="DF2" s="439"/>
      <c r="DG2" s="439"/>
    </row>
    <row r="3" spans="1:109" ht="16.5" thickBot="1">
      <c r="A3" s="431" t="s">
        <v>446</v>
      </c>
      <c r="G3" s="4"/>
      <c r="H3" s="486"/>
      <c r="I3" s="485"/>
      <c r="J3" s="485"/>
      <c r="K3" s="487" t="s">
        <v>409</v>
      </c>
      <c r="L3" s="4"/>
      <c r="M3" s="148" t="s">
        <v>407</v>
      </c>
      <c r="N3" s="4"/>
      <c r="O3" s="4"/>
      <c r="P3" s="4" t="s">
        <v>413</v>
      </c>
      <c r="Q3" s="4"/>
      <c r="R3" s="4"/>
      <c r="S3" s="490" t="s">
        <v>439</v>
      </c>
      <c r="T3" s="489"/>
      <c r="U3" s="489"/>
      <c r="V3" s="3"/>
      <c r="W3" s="188"/>
      <c r="X3" s="3"/>
      <c r="Z3" s="3"/>
      <c r="AA3" s="3"/>
      <c r="AB3" s="3"/>
      <c r="AC3" s="145" t="s">
        <v>449</v>
      </c>
      <c r="AD3" s="145"/>
      <c r="AE3" s="492"/>
      <c r="AF3" s="101"/>
      <c r="AG3" s="3"/>
      <c r="AH3" s="4" t="s">
        <v>450</v>
      </c>
      <c r="AI3" s="3"/>
      <c r="AJ3" s="3"/>
      <c r="AK3" s="3"/>
      <c r="AL3" s="3"/>
      <c r="AM3" s="3"/>
      <c r="AN3" s="3"/>
      <c r="AO3" s="476"/>
      <c r="AQ3" s="4"/>
      <c r="AR3" s="486"/>
      <c r="AS3" s="485"/>
      <c r="AT3" s="485"/>
      <c r="AU3" s="487" t="s">
        <v>409</v>
      </c>
      <c r="AV3" s="4"/>
      <c r="AW3" s="148" t="s">
        <v>407</v>
      </c>
      <c r="AX3" s="4"/>
      <c r="AY3" s="4"/>
      <c r="AZ3" s="4" t="s">
        <v>413</v>
      </c>
      <c r="BA3" s="4"/>
      <c r="BB3" s="4"/>
      <c r="BC3" s="490" t="s">
        <v>440</v>
      </c>
      <c r="BD3" s="489"/>
      <c r="BE3" s="489"/>
      <c r="BF3" s="3"/>
      <c r="BG3" s="188"/>
      <c r="BH3" s="3"/>
      <c r="BJ3" s="3"/>
      <c r="BK3" s="3"/>
      <c r="BL3" s="3"/>
      <c r="BM3" s="145" t="s">
        <v>449</v>
      </c>
      <c r="BN3" s="101"/>
      <c r="BO3" s="3"/>
      <c r="BP3" s="4" t="s">
        <v>421</v>
      </c>
      <c r="BQ3" s="3"/>
      <c r="BR3" s="3"/>
      <c r="BS3" s="3"/>
      <c r="BT3" s="3"/>
      <c r="BU3" s="3"/>
      <c r="BV3" s="3"/>
      <c r="BZ3" s="496"/>
      <c r="CA3" s="497"/>
      <c r="CB3" s="496"/>
      <c r="CC3" s="496"/>
      <c r="CD3" s="498"/>
      <c r="CE3" s="496"/>
      <c r="CF3" s="497" t="s">
        <v>407</v>
      </c>
      <c r="CG3" s="496"/>
      <c r="CH3" s="496"/>
      <c r="CI3" s="496" t="s">
        <v>413</v>
      </c>
      <c r="CJ3" s="496"/>
      <c r="CK3" s="496"/>
      <c r="CL3" s="496" t="s">
        <v>440</v>
      </c>
      <c r="CM3" s="84"/>
      <c r="CN3" s="84"/>
      <c r="CO3" s="84"/>
      <c r="CQ3" s="84"/>
      <c r="CS3" s="84"/>
      <c r="CT3" s="84"/>
      <c r="CU3" s="84"/>
      <c r="CV3" s="498" t="s">
        <v>422</v>
      </c>
      <c r="CW3" s="84"/>
      <c r="CX3" s="509"/>
      <c r="CY3" s="496" t="s">
        <v>421</v>
      </c>
      <c r="CZ3" s="84"/>
      <c r="DA3" s="84"/>
      <c r="DB3" s="84"/>
      <c r="DC3" s="84"/>
      <c r="DD3" s="84"/>
      <c r="DE3" s="84"/>
    </row>
    <row r="4" spans="1:109" ht="16.5" thickBot="1">
      <c r="A4" s="516"/>
      <c r="B4" s="161" t="s">
        <v>447</v>
      </c>
      <c r="C4" s="162"/>
      <c r="D4" s="162"/>
      <c r="E4" s="512"/>
      <c r="G4" s="306"/>
      <c r="H4" s="144" t="s">
        <v>381</v>
      </c>
      <c r="I4" s="144" t="s">
        <v>382</v>
      </c>
      <c r="J4" s="144"/>
      <c r="K4" s="144" t="s">
        <v>406</v>
      </c>
      <c r="L4" s="144"/>
      <c r="M4" s="148" t="s">
        <v>408</v>
      </c>
      <c r="N4" s="144"/>
      <c r="O4" s="144"/>
      <c r="P4" s="144" t="s">
        <v>306</v>
      </c>
      <c r="Q4" s="144" t="s">
        <v>435</v>
      </c>
      <c r="R4" s="308"/>
      <c r="S4" s="470" t="s">
        <v>306</v>
      </c>
      <c r="T4" s="490" t="s">
        <v>412</v>
      </c>
      <c r="U4" s="3"/>
      <c r="V4" s="144" t="s">
        <v>411</v>
      </c>
      <c r="W4" s="3"/>
      <c r="X4" s="306" t="s">
        <v>452</v>
      </c>
      <c r="Y4" s="3"/>
      <c r="Z4" s="3"/>
      <c r="AA4" s="3"/>
      <c r="AB4" s="3"/>
      <c r="AC4" s="3"/>
      <c r="AD4" s="3"/>
      <c r="AE4" s="489" t="s">
        <v>435</v>
      </c>
      <c r="AF4" s="101"/>
      <c r="AG4" s="3"/>
      <c r="AH4" s="3"/>
      <c r="AI4" s="3"/>
      <c r="AJ4" s="3"/>
      <c r="AK4" s="3"/>
      <c r="AL4" s="3"/>
      <c r="AM4" s="3"/>
      <c r="AN4" s="3"/>
      <c r="AO4" s="476"/>
      <c r="AQ4" s="306"/>
      <c r="AR4" s="144" t="s">
        <v>381</v>
      </c>
      <c r="AS4" s="144" t="s">
        <v>382</v>
      </c>
      <c r="AT4" s="144"/>
      <c r="AU4" s="144" t="s">
        <v>406</v>
      </c>
      <c r="AV4" s="144"/>
      <c r="AW4" s="148" t="s">
        <v>408</v>
      </c>
      <c r="AX4" s="144"/>
      <c r="AY4" s="144"/>
      <c r="AZ4" s="144" t="s">
        <v>306</v>
      </c>
      <c r="BA4" s="144" t="s">
        <v>441</v>
      </c>
      <c r="BB4" s="308"/>
      <c r="BC4" s="470" t="s">
        <v>306</v>
      </c>
      <c r="BD4" s="490" t="s">
        <v>412</v>
      </c>
      <c r="BE4" s="3"/>
      <c r="BF4" s="144" t="s">
        <v>411</v>
      </c>
      <c r="BG4" s="3"/>
      <c r="BH4" s="306" t="s">
        <v>452</v>
      </c>
      <c r="BI4" s="3"/>
      <c r="BJ4" s="3"/>
      <c r="BK4" s="3"/>
      <c r="BL4" s="3"/>
      <c r="BM4" s="3"/>
      <c r="BN4" s="101"/>
      <c r="BO4" s="3"/>
      <c r="BP4" s="3"/>
      <c r="BQ4" s="3"/>
      <c r="BR4" s="3"/>
      <c r="BS4" s="3"/>
      <c r="BT4" s="3"/>
      <c r="BU4" s="3"/>
      <c r="BV4" s="3"/>
      <c r="BZ4" s="84"/>
      <c r="CA4" s="449" t="s">
        <v>381</v>
      </c>
      <c r="CB4" s="449" t="s">
        <v>382</v>
      </c>
      <c r="CC4" s="449"/>
      <c r="CD4" s="449" t="s">
        <v>406</v>
      </c>
      <c r="CE4" s="449"/>
      <c r="CF4" s="497" t="s">
        <v>408</v>
      </c>
      <c r="CG4" s="449"/>
      <c r="CH4" s="449"/>
      <c r="CI4" s="449" t="s">
        <v>306</v>
      </c>
      <c r="CJ4" s="449" t="s">
        <v>441</v>
      </c>
      <c r="CK4" s="9"/>
      <c r="CL4" s="417" t="s">
        <v>306</v>
      </c>
      <c r="CM4" s="496" t="s">
        <v>412</v>
      </c>
      <c r="CN4" s="84"/>
      <c r="CO4" s="449" t="s">
        <v>411</v>
      </c>
      <c r="CP4" s="84"/>
      <c r="CQ4" s="84"/>
      <c r="CR4" s="84"/>
      <c r="CS4" s="84"/>
      <c r="CT4" s="84"/>
      <c r="CU4" s="84"/>
      <c r="CV4" s="84"/>
      <c r="CW4" s="84"/>
      <c r="CX4" s="509"/>
      <c r="CY4" s="84"/>
      <c r="CZ4" s="84"/>
      <c r="DA4" s="84"/>
      <c r="DB4" s="84"/>
      <c r="DC4" s="84"/>
      <c r="DD4" s="84"/>
      <c r="DE4" s="84"/>
    </row>
    <row r="5" spans="1:109" ht="16.5" thickBot="1">
      <c r="A5" s="517"/>
      <c r="B5" s="515">
        <v>0.05</v>
      </c>
      <c r="C5" s="132">
        <v>0.025</v>
      </c>
      <c r="D5" s="132">
        <v>0.01</v>
      </c>
      <c r="E5" s="514">
        <v>0.005</v>
      </c>
      <c r="G5" s="414">
        <v>1</v>
      </c>
      <c r="H5" s="471">
        <v>19</v>
      </c>
      <c r="I5" s="471">
        <v>20</v>
      </c>
      <c r="J5" s="308"/>
      <c r="K5" s="272">
        <f>H5-I5</f>
        <v>-1</v>
      </c>
      <c r="L5" s="308"/>
      <c r="M5" s="10">
        <f>IF(K5&lt;0,-1,IF(K5=0,0,IF(K5&gt;0,1)))</f>
        <v>-1</v>
      </c>
      <c r="N5" s="10">
        <f>ABS(K5)</f>
        <v>1</v>
      </c>
      <c r="O5" s="308"/>
      <c r="P5" s="10">
        <f>M5</f>
        <v>-1</v>
      </c>
      <c r="Q5" s="10">
        <f>RANK(N5,N5:N39,1)</f>
        <v>1</v>
      </c>
      <c r="R5" s="308"/>
      <c r="S5" s="10">
        <f>P5</f>
        <v>-1</v>
      </c>
      <c r="T5" s="488">
        <f>Q5</f>
        <v>1</v>
      </c>
      <c r="U5" s="308"/>
      <c r="V5" s="10">
        <f>S5*T5</f>
        <v>-1</v>
      </c>
      <c r="X5" s="396" t="s">
        <v>453</v>
      </c>
      <c r="AD5" s="414">
        <v>1</v>
      </c>
      <c r="AE5" s="491">
        <f>SMALL(T5:T39,1)</f>
        <v>1</v>
      </c>
      <c r="AF5" s="465"/>
      <c r="AG5" s="308"/>
      <c r="AH5" s="308"/>
      <c r="AI5" s="308"/>
      <c r="AJ5" s="308"/>
      <c r="AK5" s="308"/>
      <c r="AL5" s="308"/>
      <c r="AM5" s="308"/>
      <c r="AN5" s="308"/>
      <c r="AO5" s="385"/>
      <c r="AQ5" s="414">
        <v>1</v>
      </c>
      <c r="AR5" s="471">
        <v>1</v>
      </c>
      <c r="AS5" s="471">
        <v>10</v>
      </c>
      <c r="AT5" s="308"/>
      <c r="AU5" s="272">
        <f>AR5-AS5</f>
        <v>-9</v>
      </c>
      <c r="AV5" s="308"/>
      <c r="AW5" s="10">
        <f>IF(AU5&lt;0,-1,IF(AU5=0,0,IF(AU5&gt;0,1)))</f>
        <v>-1</v>
      </c>
      <c r="AX5" s="10">
        <f>ABS(AU5)</f>
        <v>9</v>
      </c>
      <c r="AY5" s="308"/>
      <c r="AZ5" s="10">
        <f>AW5</f>
        <v>-1</v>
      </c>
      <c r="BA5" s="10">
        <f>RANK(AX5,AX5:AX19,1)</f>
        <v>11</v>
      </c>
      <c r="BB5" s="308"/>
      <c r="BC5" s="10">
        <f>AZ5</f>
        <v>-1</v>
      </c>
      <c r="BD5" s="488">
        <f>BA5</f>
        <v>11</v>
      </c>
      <c r="BE5" s="308"/>
      <c r="BF5" s="10">
        <f>BC5*BD5</f>
        <v>-11</v>
      </c>
      <c r="BH5" s="396" t="s">
        <v>453</v>
      </c>
      <c r="BN5" s="465"/>
      <c r="BO5" s="308"/>
      <c r="BP5" s="308"/>
      <c r="BQ5" s="308"/>
      <c r="BR5" s="308"/>
      <c r="BS5" s="308"/>
      <c r="BT5" s="308"/>
      <c r="BU5" s="308"/>
      <c r="BV5" s="308"/>
      <c r="BZ5" s="414">
        <v>1</v>
      </c>
      <c r="CA5" s="499">
        <v>12</v>
      </c>
      <c r="CB5" s="499">
        <v>8</v>
      </c>
      <c r="CC5" s="9"/>
      <c r="CD5" s="171">
        <f>CA5-CB5</f>
        <v>4</v>
      </c>
      <c r="CE5" s="9"/>
      <c r="CF5" s="171">
        <f>IF(CD5&lt;0,-1,IF(CD5=0,0,IF(CD5&gt;0,1)))</f>
        <v>1</v>
      </c>
      <c r="CG5" s="171">
        <f>ABS(CD5)</f>
        <v>4</v>
      </c>
      <c r="CH5" s="9"/>
      <c r="CI5" s="171">
        <f>CF5</f>
        <v>1</v>
      </c>
      <c r="CJ5" s="171">
        <f>RANK(CG5,CG5:CG19,1)</f>
        <v>2</v>
      </c>
      <c r="CK5" s="9"/>
      <c r="CL5" s="171">
        <f>CI5</f>
        <v>1</v>
      </c>
      <c r="CM5" s="171">
        <f>CJ5</f>
        <v>2</v>
      </c>
      <c r="CN5" s="9"/>
      <c r="CO5" s="171">
        <f>CL5*CM5</f>
        <v>2</v>
      </c>
      <c r="CP5" s="9"/>
      <c r="CU5" s="173" t="s">
        <v>415</v>
      </c>
      <c r="CV5" s="171">
        <f>ABS(SUMIF(CO5:CO19,"&lt;0"))</f>
        <v>9.5</v>
      </c>
      <c r="CW5" s="9"/>
      <c r="CX5" s="506"/>
      <c r="CY5" s="9"/>
      <c r="CZ5" s="9"/>
      <c r="DA5" s="9"/>
      <c r="DB5" s="9"/>
      <c r="DC5" s="9"/>
      <c r="DD5" s="9"/>
      <c r="DE5" s="9"/>
    </row>
    <row r="6" spans="1:109" ht="16.5" thickBot="1">
      <c r="A6" s="517"/>
      <c r="B6" s="161" t="s">
        <v>448</v>
      </c>
      <c r="C6" s="162"/>
      <c r="D6" s="162"/>
      <c r="E6" s="512"/>
      <c r="G6" s="414">
        <v>2</v>
      </c>
      <c r="H6" s="466">
        <v>18</v>
      </c>
      <c r="I6" s="471">
        <v>20</v>
      </c>
      <c r="J6" s="308"/>
      <c r="K6" s="272">
        <f aca="true" t="shared" si="0" ref="K6:K24">H6-I6</f>
        <v>-2</v>
      </c>
      <c r="L6" s="308"/>
      <c r="M6" s="10">
        <f aca="true" t="shared" si="1" ref="M6:M24">IF(K6&lt;0,-1,IF(K6=0,0,IF(K6&gt;0,1)))</f>
        <v>-1</v>
      </c>
      <c r="N6" s="10">
        <f aca="true" t="shared" si="2" ref="N6:N24">ABS(K6)</f>
        <v>2</v>
      </c>
      <c r="O6" s="308"/>
      <c r="P6" s="10">
        <f aca="true" t="shared" si="3" ref="P6:P24">M6</f>
        <v>-1</v>
      </c>
      <c r="Q6" s="10">
        <f>RANK(N6,N5:N39,1)</f>
        <v>2</v>
      </c>
      <c r="R6" s="308"/>
      <c r="S6" s="10">
        <f aca="true" t="shared" si="4" ref="S6:S24">P6</f>
        <v>-1</v>
      </c>
      <c r="T6" s="488">
        <f aca="true" t="shared" si="5" ref="T6:T24">Q6</f>
        <v>2</v>
      </c>
      <c r="U6" s="308"/>
      <c r="V6" s="10">
        <f aca="true" t="shared" si="6" ref="V6:V24">S6*T6</f>
        <v>-2</v>
      </c>
      <c r="AD6" s="414">
        <v>2</v>
      </c>
      <c r="AE6" s="491">
        <f>SMALL(T5:T39,2)</f>
        <v>2</v>
      </c>
      <c r="AF6" s="465"/>
      <c r="AG6" s="308"/>
      <c r="AH6" s="308"/>
      <c r="AI6" s="308"/>
      <c r="AJ6" s="308"/>
      <c r="AK6" s="308"/>
      <c r="AL6" s="308"/>
      <c r="AM6" s="308"/>
      <c r="AN6" s="308"/>
      <c r="AO6" s="385"/>
      <c r="AQ6" s="414">
        <v>2</v>
      </c>
      <c r="AR6" s="466">
        <v>2</v>
      </c>
      <c r="AS6" s="471">
        <v>9</v>
      </c>
      <c r="AT6" s="308"/>
      <c r="AU6" s="272">
        <f aca="true" t="shared" si="7" ref="AU6:AU19">AR6-AS6</f>
        <v>-7</v>
      </c>
      <c r="AV6" s="308"/>
      <c r="AW6" s="10">
        <f aca="true" t="shared" si="8" ref="AW6:AW19">IF(AU6&lt;0,-1,IF(AU6=0,0,IF(AU6&gt;0,1)))</f>
        <v>-1</v>
      </c>
      <c r="AX6" s="10">
        <f aca="true" t="shared" si="9" ref="AX6:AX19">ABS(AU6)</f>
        <v>7</v>
      </c>
      <c r="AY6" s="308"/>
      <c r="AZ6" s="10">
        <f aca="true" t="shared" si="10" ref="AZ6:AZ19">AW6</f>
        <v>-1</v>
      </c>
      <c r="BA6" s="10">
        <f>RANK(AX6,AX5:AX19,1)</f>
        <v>9</v>
      </c>
      <c r="BB6" s="308"/>
      <c r="BC6" s="10">
        <f aca="true" t="shared" si="11" ref="BC6:BC19">AZ6</f>
        <v>-1</v>
      </c>
      <c r="BD6" s="488">
        <f aca="true" t="shared" si="12" ref="BD6:BD19">BA6</f>
        <v>9</v>
      </c>
      <c r="BE6" s="308"/>
      <c r="BF6" s="10">
        <f aca="true" t="shared" si="13" ref="BF6:BF19">BC6*BD6</f>
        <v>-9</v>
      </c>
      <c r="BN6" s="465"/>
      <c r="BO6" s="308"/>
      <c r="BP6" s="308"/>
      <c r="BQ6" s="308"/>
      <c r="BR6" s="308"/>
      <c r="BS6" s="308"/>
      <c r="BT6" s="308"/>
      <c r="BU6" s="308"/>
      <c r="BV6" s="308"/>
      <c r="BZ6" s="414">
        <v>2</v>
      </c>
      <c r="CA6" s="500">
        <v>14</v>
      </c>
      <c r="CB6" s="499">
        <v>6</v>
      </c>
      <c r="CC6" s="9"/>
      <c r="CD6" s="171">
        <f aca="true" t="shared" si="14" ref="CD6:CD15">CA6-CB6</f>
        <v>8</v>
      </c>
      <c r="CE6" s="9"/>
      <c r="CF6" s="171">
        <f aca="true" t="shared" si="15" ref="CF6:CF15">IF(CD6&lt;0,-1,IF(CD6=0,0,IF(CD6&gt;0,1)))</f>
        <v>1</v>
      </c>
      <c r="CG6" s="171">
        <f aca="true" t="shared" si="16" ref="CG6:CG15">ABS(CD6)</f>
        <v>8</v>
      </c>
      <c r="CH6" s="9"/>
      <c r="CI6" s="171">
        <f aca="true" t="shared" si="17" ref="CI6:CI15">CF6</f>
        <v>1</v>
      </c>
      <c r="CJ6" s="171">
        <f>RANK(CG6,CG5:CG19,1)</f>
        <v>4</v>
      </c>
      <c r="CK6" s="9"/>
      <c r="CL6" s="171">
        <f aca="true" t="shared" si="18" ref="CL6:CL15">CI6</f>
        <v>1</v>
      </c>
      <c r="CM6" s="171">
        <f aca="true" t="shared" si="19" ref="CM6:CM13">CJ6</f>
        <v>4</v>
      </c>
      <c r="CN6" s="9"/>
      <c r="CO6" s="171">
        <f aca="true" t="shared" si="20" ref="CO6:CO15">CL6*CM6</f>
        <v>4</v>
      </c>
      <c r="CP6" s="9"/>
      <c r="CQ6" s="9"/>
      <c r="CR6" s="9"/>
      <c r="CU6" s="173" t="s">
        <v>414</v>
      </c>
      <c r="CV6" s="171">
        <f>SUMIF(CO5:CO19,"&gt;0")</f>
        <v>35.5</v>
      </c>
      <c r="CW6" s="9"/>
      <c r="CX6" s="506"/>
      <c r="CY6" s="9"/>
      <c r="CZ6" s="9"/>
      <c r="DA6" s="9"/>
      <c r="DB6" s="9"/>
      <c r="DC6" s="9"/>
      <c r="DD6" s="9"/>
      <c r="DE6" s="9"/>
    </row>
    <row r="7" spans="1:109" ht="16.5" thickBot="1">
      <c r="A7" s="518" t="s">
        <v>29</v>
      </c>
      <c r="B7" s="513">
        <v>0.1</v>
      </c>
      <c r="C7" s="132">
        <v>0.05</v>
      </c>
      <c r="D7" s="132">
        <v>0.02</v>
      </c>
      <c r="E7" s="514">
        <v>0.01</v>
      </c>
      <c r="G7" s="414">
        <v>3</v>
      </c>
      <c r="H7" s="466">
        <v>17</v>
      </c>
      <c r="I7" s="471">
        <v>20</v>
      </c>
      <c r="J7" s="308"/>
      <c r="K7" s="272">
        <f t="shared" si="0"/>
        <v>-3</v>
      </c>
      <c r="L7" s="308"/>
      <c r="M7" s="10">
        <f t="shared" si="1"/>
        <v>-1</v>
      </c>
      <c r="N7" s="10">
        <f t="shared" si="2"/>
        <v>3</v>
      </c>
      <c r="O7" s="308"/>
      <c r="P7" s="10">
        <f t="shared" si="3"/>
        <v>-1</v>
      </c>
      <c r="Q7" s="10">
        <f>RANK(N7,N5:N39,1)</f>
        <v>3</v>
      </c>
      <c r="R7" s="308"/>
      <c r="S7" s="10">
        <f t="shared" si="4"/>
        <v>-1</v>
      </c>
      <c r="T7" s="488">
        <f t="shared" si="5"/>
        <v>3</v>
      </c>
      <c r="U7" s="308"/>
      <c r="V7" s="10">
        <f t="shared" si="6"/>
        <v>-3</v>
      </c>
      <c r="W7" s="308"/>
      <c r="AB7" s="383" t="s">
        <v>415</v>
      </c>
      <c r="AC7" s="10">
        <f>ABS(SUMIF(V5:V39,"&lt;0"))</f>
        <v>190</v>
      </c>
      <c r="AD7" s="414">
        <v>3</v>
      </c>
      <c r="AE7" s="491">
        <f>SMALL(T5:T39,3)</f>
        <v>3</v>
      </c>
      <c r="AF7" s="465"/>
      <c r="AG7" s="308"/>
      <c r="AH7" s="308"/>
      <c r="AI7" s="308"/>
      <c r="AJ7" s="308"/>
      <c r="AK7" s="308"/>
      <c r="AL7" s="308"/>
      <c r="AM7" s="308"/>
      <c r="AN7" s="308"/>
      <c r="AO7" s="385"/>
      <c r="AQ7" s="414">
        <v>3</v>
      </c>
      <c r="AR7" s="466">
        <v>3</v>
      </c>
      <c r="AS7" s="471">
        <v>8</v>
      </c>
      <c r="AT7" s="308"/>
      <c r="AU7" s="272">
        <f t="shared" si="7"/>
        <v>-5</v>
      </c>
      <c r="AV7" s="308"/>
      <c r="AW7" s="10">
        <f t="shared" si="8"/>
        <v>-1</v>
      </c>
      <c r="AX7" s="10">
        <f t="shared" si="9"/>
        <v>5</v>
      </c>
      <c r="AY7" s="308"/>
      <c r="AZ7" s="10">
        <f t="shared" si="10"/>
        <v>-1</v>
      </c>
      <c r="BA7" s="10">
        <f>RANK(AX7,AX5:AX19,1)</f>
        <v>8</v>
      </c>
      <c r="BB7" s="308"/>
      <c r="BC7" s="10">
        <f t="shared" si="11"/>
        <v>-1</v>
      </c>
      <c r="BD7" s="488">
        <f t="shared" si="12"/>
        <v>8</v>
      </c>
      <c r="BE7" s="308"/>
      <c r="BF7" s="10">
        <f t="shared" si="13"/>
        <v>-8</v>
      </c>
      <c r="BN7" s="465"/>
      <c r="BO7" s="308"/>
      <c r="BP7" s="308"/>
      <c r="BQ7" s="308"/>
      <c r="BR7" s="308"/>
      <c r="BS7" s="308"/>
      <c r="BT7" s="308"/>
      <c r="BU7" s="308"/>
      <c r="BV7" s="308"/>
      <c r="BZ7" s="414">
        <v>3</v>
      </c>
      <c r="CA7" s="500">
        <v>21</v>
      </c>
      <c r="CB7" s="499">
        <v>21</v>
      </c>
      <c r="CC7" s="9"/>
      <c r="CD7" s="171">
        <v>0</v>
      </c>
      <c r="CE7" s="9"/>
      <c r="CF7" s="171">
        <f t="shared" si="15"/>
        <v>0</v>
      </c>
      <c r="CG7" s="171"/>
      <c r="CH7" s="9"/>
      <c r="CI7" s="171"/>
      <c r="CJ7" s="171"/>
      <c r="CK7" s="9"/>
      <c r="CL7" s="171"/>
      <c r="CM7" s="171"/>
      <c r="CN7" s="9"/>
      <c r="CO7" s="171"/>
      <c r="CP7" s="9"/>
      <c r="CQ7" s="9"/>
      <c r="CR7" s="9"/>
      <c r="CU7" s="9"/>
      <c r="CV7" s="9"/>
      <c r="CW7" s="9"/>
      <c r="CX7" s="506"/>
      <c r="CY7" s="9"/>
      <c r="CZ7" s="9"/>
      <c r="DA7" s="9"/>
      <c r="DB7" s="9"/>
      <c r="DC7" s="9"/>
      <c r="DD7" s="9"/>
      <c r="DE7" s="9"/>
    </row>
    <row r="8" spans="1:109" ht="16.5" thickBot="1">
      <c r="A8" s="516">
        <v>5</v>
      </c>
      <c r="B8" s="519">
        <v>1</v>
      </c>
      <c r="C8" s="519"/>
      <c r="D8" s="519"/>
      <c r="E8" s="519"/>
      <c r="G8" s="414">
        <v>4</v>
      </c>
      <c r="H8" s="466">
        <v>16</v>
      </c>
      <c r="I8" s="471">
        <v>20</v>
      </c>
      <c r="J8" s="308"/>
      <c r="K8" s="272">
        <f t="shared" si="0"/>
        <v>-4</v>
      </c>
      <c r="L8" s="308"/>
      <c r="M8" s="10">
        <f t="shared" si="1"/>
        <v>-1</v>
      </c>
      <c r="N8" s="10">
        <f t="shared" si="2"/>
        <v>4</v>
      </c>
      <c r="O8" s="308"/>
      <c r="P8" s="10">
        <f t="shared" si="3"/>
        <v>-1</v>
      </c>
      <c r="Q8" s="10">
        <f>RANK(N8,N5:N39,1)</f>
        <v>4</v>
      </c>
      <c r="R8" s="308"/>
      <c r="S8" s="10">
        <f t="shared" si="4"/>
        <v>-1</v>
      </c>
      <c r="T8" s="488">
        <f t="shared" si="5"/>
        <v>4</v>
      </c>
      <c r="U8" s="308"/>
      <c r="V8" s="10">
        <f t="shared" si="6"/>
        <v>-4</v>
      </c>
      <c r="W8" s="308"/>
      <c r="X8" s="308"/>
      <c r="Y8" s="308"/>
      <c r="AB8" s="383" t="s">
        <v>414</v>
      </c>
      <c r="AC8" s="10">
        <f>SUMIF(V5:V39,"&gt;0")</f>
        <v>440</v>
      </c>
      <c r="AD8" s="414">
        <v>4</v>
      </c>
      <c r="AE8" s="491">
        <f>SMALL(T5:T39,4)</f>
        <v>4</v>
      </c>
      <c r="AF8" s="465"/>
      <c r="AG8" s="308"/>
      <c r="AH8" s="308"/>
      <c r="AI8" s="308"/>
      <c r="AJ8" s="308"/>
      <c r="AM8" s="383" t="s">
        <v>420</v>
      </c>
      <c r="AN8" s="10">
        <f>ABS(SUM(V5:V39))</f>
        <v>250</v>
      </c>
      <c r="AO8" s="385"/>
      <c r="AQ8" s="414">
        <v>4</v>
      </c>
      <c r="AR8" s="466">
        <v>4</v>
      </c>
      <c r="AS8" s="471">
        <v>7</v>
      </c>
      <c r="AT8" s="308"/>
      <c r="AU8" s="272">
        <f t="shared" si="7"/>
        <v>-3</v>
      </c>
      <c r="AV8" s="308"/>
      <c r="AW8" s="10">
        <f t="shared" si="8"/>
        <v>-1</v>
      </c>
      <c r="AX8" s="10">
        <f t="shared" si="9"/>
        <v>3</v>
      </c>
      <c r="AY8" s="308"/>
      <c r="AZ8" s="10">
        <f t="shared" si="10"/>
        <v>-1</v>
      </c>
      <c r="BA8" s="10">
        <f>RANK(AX8,AX5:AX19,1)</f>
        <v>6</v>
      </c>
      <c r="BB8" s="308"/>
      <c r="BC8" s="10">
        <f t="shared" si="11"/>
        <v>-1</v>
      </c>
      <c r="BD8" s="488">
        <f t="shared" si="12"/>
        <v>6</v>
      </c>
      <c r="BE8" s="308"/>
      <c r="BF8" s="10">
        <f t="shared" si="13"/>
        <v>-6</v>
      </c>
      <c r="BG8" s="308"/>
      <c r="BL8" s="383" t="s">
        <v>415</v>
      </c>
      <c r="BM8" s="10">
        <f>ABS(SUMIF(BF5:BF19,"&lt;0"))</f>
        <v>84</v>
      </c>
      <c r="BN8" s="465"/>
      <c r="BO8" s="308"/>
      <c r="BP8" s="308"/>
      <c r="BQ8" s="308"/>
      <c r="BR8" s="308"/>
      <c r="BU8" s="383" t="s">
        <v>420</v>
      </c>
      <c r="BV8" s="10">
        <f>ABS(SUM(BF5:BF39))</f>
        <v>55</v>
      </c>
      <c r="BZ8" s="414">
        <v>4</v>
      </c>
      <c r="CA8" s="500">
        <v>11</v>
      </c>
      <c r="CB8" s="499">
        <v>14</v>
      </c>
      <c r="CC8" s="9"/>
      <c r="CD8" s="171">
        <f t="shared" si="14"/>
        <v>-3</v>
      </c>
      <c r="CE8" s="9"/>
      <c r="CF8" s="171">
        <f t="shared" si="15"/>
        <v>-1</v>
      </c>
      <c r="CG8" s="171">
        <f t="shared" si="16"/>
        <v>3</v>
      </c>
      <c r="CH8" s="9"/>
      <c r="CI8" s="171">
        <f t="shared" si="17"/>
        <v>-1</v>
      </c>
      <c r="CJ8" s="171">
        <f>RANK(CG8,CG5:CG19,1)</f>
        <v>1</v>
      </c>
      <c r="CK8" s="9"/>
      <c r="CL8" s="171">
        <f t="shared" si="18"/>
        <v>-1</v>
      </c>
      <c r="CM8" s="171">
        <f t="shared" si="19"/>
        <v>1</v>
      </c>
      <c r="CN8" s="9"/>
      <c r="CO8" s="171">
        <f t="shared" si="20"/>
        <v>-1</v>
      </c>
      <c r="CP8" s="9"/>
      <c r="CQ8" s="9"/>
      <c r="CR8" s="9"/>
      <c r="CU8" s="173" t="s">
        <v>416</v>
      </c>
      <c r="CV8" s="171">
        <f>MIN(CV5:CV6)</f>
        <v>9.5</v>
      </c>
      <c r="CW8" s="9"/>
      <c r="CX8" s="506"/>
      <c r="CY8" s="9"/>
      <c r="CZ8" s="9"/>
      <c r="DA8" s="9"/>
      <c r="DD8" s="173" t="s">
        <v>442</v>
      </c>
      <c r="DE8" s="171">
        <f>ABS(SUM(CO5:CO39))</f>
        <v>26</v>
      </c>
    </row>
    <row r="9" spans="1:109" ht="16.5" thickBot="1">
      <c r="A9" s="517">
        <v>6</v>
      </c>
      <c r="B9" s="519">
        <v>2</v>
      </c>
      <c r="C9" s="519">
        <v>1</v>
      </c>
      <c r="D9" s="519"/>
      <c r="E9" s="519"/>
      <c r="G9" s="414">
        <v>5</v>
      </c>
      <c r="H9" s="466">
        <v>15</v>
      </c>
      <c r="I9" s="471">
        <v>20</v>
      </c>
      <c r="J9" s="308"/>
      <c r="K9" s="272">
        <f t="shared" si="0"/>
        <v>-5</v>
      </c>
      <c r="L9" s="308"/>
      <c r="M9" s="10">
        <f t="shared" si="1"/>
        <v>-1</v>
      </c>
      <c r="N9" s="10">
        <f t="shared" si="2"/>
        <v>5</v>
      </c>
      <c r="O9" s="308"/>
      <c r="P9" s="10">
        <f t="shared" si="3"/>
        <v>-1</v>
      </c>
      <c r="Q9" s="10">
        <f>RANK(N9,N5:N39,1)</f>
        <v>5</v>
      </c>
      <c r="R9" s="308"/>
      <c r="S9" s="10">
        <f t="shared" si="4"/>
        <v>-1</v>
      </c>
      <c r="T9" s="488">
        <f t="shared" si="5"/>
        <v>5</v>
      </c>
      <c r="U9" s="308"/>
      <c r="V9" s="10">
        <f t="shared" si="6"/>
        <v>-5</v>
      </c>
      <c r="W9" s="308"/>
      <c r="X9" s="308"/>
      <c r="Y9" s="308"/>
      <c r="AB9" s="308"/>
      <c r="AC9" s="308"/>
      <c r="AD9" s="414">
        <v>5</v>
      </c>
      <c r="AE9" s="491">
        <f>SMALL(T5:T39,5)</f>
        <v>5</v>
      </c>
      <c r="AF9" s="465"/>
      <c r="AG9" s="308"/>
      <c r="AH9" s="308"/>
      <c r="AI9" s="308"/>
      <c r="AJ9" s="308"/>
      <c r="AM9" s="308"/>
      <c r="AN9" s="308"/>
      <c r="AO9" s="385"/>
      <c r="AQ9" s="414">
        <v>5</v>
      </c>
      <c r="AR9" s="466">
        <v>5</v>
      </c>
      <c r="AS9" s="471">
        <v>6</v>
      </c>
      <c r="AT9" s="308"/>
      <c r="AU9" s="272">
        <f t="shared" si="7"/>
        <v>-1</v>
      </c>
      <c r="AV9" s="308"/>
      <c r="AW9" s="10">
        <f t="shared" si="8"/>
        <v>-1</v>
      </c>
      <c r="AX9" s="10">
        <f t="shared" si="9"/>
        <v>1</v>
      </c>
      <c r="AY9" s="308"/>
      <c r="AZ9" s="10">
        <f t="shared" si="10"/>
        <v>-1</v>
      </c>
      <c r="BA9" s="10">
        <f>RANK(AX9,AX5:AX19,1)</f>
        <v>3</v>
      </c>
      <c r="BB9" s="308"/>
      <c r="BC9" s="10">
        <f t="shared" si="11"/>
        <v>-1</v>
      </c>
      <c r="BD9" s="488">
        <f t="shared" si="12"/>
        <v>3</v>
      </c>
      <c r="BE9" s="308"/>
      <c r="BF9" s="10">
        <f t="shared" si="13"/>
        <v>-3</v>
      </c>
      <c r="BG9" s="308"/>
      <c r="BH9" s="308"/>
      <c r="BI9" s="308"/>
      <c r="BL9" s="383" t="s">
        <v>414</v>
      </c>
      <c r="BM9" s="10">
        <f>SUMIF(BF5:BF19,"&gt;0")</f>
        <v>29</v>
      </c>
      <c r="BN9" s="465"/>
      <c r="BO9" s="308"/>
      <c r="BP9" s="308"/>
      <c r="BQ9" s="308"/>
      <c r="BR9" s="308"/>
      <c r="BU9" s="308"/>
      <c r="BV9" s="308"/>
      <c r="BZ9" s="414">
        <v>5</v>
      </c>
      <c r="CA9" s="500">
        <v>32</v>
      </c>
      <c r="CB9" s="499">
        <v>13</v>
      </c>
      <c r="CC9" s="9"/>
      <c r="CD9" s="171">
        <f t="shared" si="14"/>
        <v>19</v>
      </c>
      <c r="CE9" s="9"/>
      <c r="CF9" s="171">
        <f t="shared" si="15"/>
        <v>1</v>
      </c>
      <c r="CG9" s="171">
        <f t="shared" si="16"/>
        <v>19</v>
      </c>
      <c r="CH9" s="9"/>
      <c r="CI9" s="171">
        <f t="shared" si="17"/>
        <v>1</v>
      </c>
      <c r="CJ9" s="171">
        <f>RANK(CG9,CG5:CG19,1)</f>
        <v>5</v>
      </c>
      <c r="CK9" s="9"/>
      <c r="CL9" s="171">
        <f t="shared" si="18"/>
        <v>1</v>
      </c>
      <c r="CM9" s="171">
        <v>5.5</v>
      </c>
      <c r="CN9" s="9"/>
      <c r="CO9" s="171">
        <f t="shared" si="20"/>
        <v>5.5</v>
      </c>
      <c r="CP9" s="501" t="s">
        <v>429</v>
      </c>
      <c r="CR9" s="9"/>
      <c r="CS9" s="9"/>
      <c r="CT9" s="9"/>
      <c r="CU9" s="9"/>
      <c r="CV9" s="9"/>
      <c r="CW9" s="9"/>
      <c r="CX9" s="506"/>
      <c r="CY9" s="9"/>
      <c r="CZ9" s="9"/>
      <c r="DA9" s="9"/>
      <c r="DD9" s="9"/>
      <c r="DE9" s="9"/>
    </row>
    <row r="10" spans="1:109" ht="16.5" thickBot="1">
      <c r="A10" s="517">
        <v>7</v>
      </c>
      <c r="B10" s="519">
        <v>4</v>
      </c>
      <c r="C10" s="519">
        <v>2</v>
      </c>
      <c r="D10" s="519">
        <v>0</v>
      </c>
      <c r="E10" s="519"/>
      <c r="G10" s="414">
        <v>6</v>
      </c>
      <c r="H10" s="466">
        <v>14</v>
      </c>
      <c r="I10" s="471">
        <v>20</v>
      </c>
      <c r="J10" s="308"/>
      <c r="K10" s="272">
        <f t="shared" si="0"/>
        <v>-6</v>
      </c>
      <c r="L10" s="308"/>
      <c r="M10" s="10">
        <f t="shared" si="1"/>
        <v>-1</v>
      </c>
      <c r="N10" s="10">
        <f t="shared" si="2"/>
        <v>6</v>
      </c>
      <c r="O10" s="308"/>
      <c r="P10" s="10">
        <f t="shared" si="3"/>
        <v>-1</v>
      </c>
      <c r="Q10" s="10">
        <f>RANK(N10,N5:N39,1)</f>
        <v>6</v>
      </c>
      <c r="R10" s="308"/>
      <c r="S10" s="10">
        <f t="shared" si="4"/>
        <v>-1</v>
      </c>
      <c r="T10" s="488">
        <f t="shared" si="5"/>
        <v>6</v>
      </c>
      <c r="U10" s="308"/>
      <c r="V10" s="10">
        <f t="shared" si="6"/>
        <v>-6</v>
      </c>
      <c r="W10" s="308"/>
      <c r="X10" s="308"/>
      <c r="Y10" s="308"/>
      <c r="AB10" s="383" t="s">
        <v>416</v>
      </c>
      <c r="AC10" s="10">
        <f>MIN(AC7:AC8)</f>
        <v>190</v>
      </c>
      <c r="AD10" s="414">
        <v>6</v>
      </c>
      <c r="AE10" s="491">
        <f>SMALL(T5:T39,6)</f>
        <v>6</v>
      </c>
      <c r="AF10" s="465"/>
      <c r="AH10" s="474" t="s">
        <v>419</v>
      </c>
      <c r="AI10" s="93"/>
      <c r="AJ10" s="308"/>
      <c r="AK10" s="308"/>
      <c r="AL10" s="308"/>
      <c r="AM10" s="383" t="s">
        <v>417</v>
      </c>
      <c r="AN10" s="10">
        <f>COUNTIF(V5:V39,"&lt;0")+COUNTIF(V5:V39,"&gt;0")</f>
        <v>35</v>
      </c>
      <c r="AO10" s="385"/>
      <c r="AQ10" s="414">
        <v>6</v>
      </c>
      <c r="AR10" s="466">
        <v>6</v>
      </c>
      <c r="AS10" s="471">
        <v>6</v>
      </c>
      <c r="AT10" s="308"/>
      <c r="AU10" s="272">
        <f t="shared" si="7"/>
        <v>0</v>
      </c>
      <c r="AV10" s="308"/>
      <c r="AW10" s="10">
        <f t="shared" si="8"/>
        <v>0</v>
      </c>
      <c r="AX10" s="10">
        <f t="shared" si="9"/>
        <v>0</v>
      </c>
      <c r="AY10" s="308"/>
      <c r="AZ10" s="10">
        <f t="shared" si="10"/>
        <v>0</v>
      </c>
      <c r="BA10" s="10">
        <f>RANK(AX10,AX5:AX19,1)</f>
        <v>1</v>
      </c>
      <c r="BB10" s="308"/>
      <c r="BC10" s="10">
        <f t="shared" si="11"/>
        <v>0</v>
      </c>
      <c r="BD10" s="488">
        <f t="shared" si="12"/>
        <v>1</v>
      </c>
      <c r="BE10" s="308"/>
      <c r="BF10" s="10">
        <f t="shared" si="13"/>
        <v>0</v>
      </c>
      <c r="BG10" s="308"/>
      <c r="BH10" s="308"/>
      <c r="BI10" s="308"/>
      <c r="BL10" s="308"/>
      <c r="BM10" s="308"/>
      <c r="BN10" s="465"/>
      <c r="BP10" s="474" t="s">
        <v>419</v>
      </c>
      <c r="BQ10" s="93"/>
      <c r="BR10" s="308"/>
      <c r="BS10" s="308"/>
      <c r="BT10" s="308"/>
      <c r="BU10" s="383" t="s">
        <v>417</v>
      </c>
      <c r="BV10" s="10">
        <f>BM13</f>
        <v>13</v>
      </c>
      <c r="BZ10" s="414">
        <v>6</v>
      </c>
      <c r="CA10" s="500">
        <v>30</v>
      </c>
      <c r="CB10" s="499">
        <v>35</v>
      </c>
      <c r="CC10" s="9"/>
      <c r="CD10" s="171">
        <f t="shared" si="14"/>
        <v>-5</v>
      </c>
      <c r="CE10" s="9"/>
      <c r="CF10" s="171">
        <f t="shared" si="15"/>
        <v>-1</v>
      </c>
      <c r="CG10" s="171">
        <f t="shared" si="16"/>
        <v>5</v>
      </c>
      <c r="CH10" s="9"/>
      <c r="CI10" s="171">
        <f t="shared" si="17"/>
        <v>-1</v>
      </c>
      <c r="CJ10" s="171">
        <f>RANK(CG10,CG5:CG19,1)</f>
        <v>3</v>
      </c>
      <c r="CK10" s="9"/>
      <c r="CL10" s="171">
        <f t="shared" si="18"/>
        <v>-1</v>
      </c>
      <c r="CM10" s="171">
        <f t="shared" si="19"/>
        <v>3</v>
      </c>
      <c r="CN10" s="9"/>
      <c r="CO10" s="171">
        <f t="shared" si="20"/>
        <v>-3</v>
      </c>
      <c r="CP10" s="9"/>
      <c r="CQ10" s="9"/>
      <c r="CR10" s="9"/>
      <c r="CS10" s="9"/>
      <c r="CT10" s="9"/>
      <c r="CU10" s="173" t="s">
        <v>423</v>
      </c>
      <c r="CV10" s="171">
        <f>COUNTIF(CO5:CO19,"&lt;0")+COUNTIF(CO5:CO19,"&gt;0")</f>
        <v>9</v>
      </c>
      <c r="CW10" s="9"/>
      <c r="CX10" s="510"/>
      <c r="CY10" s="502" t="s">
        <v>419</v>
      </c>
      <c r="CZ10" s="84"/>
      <c r="DA10" s="9"/>
      <c r="DB10" s="9"/>
      <c r="DC10" s="9"/>
      <c r="DD10" s="173" t="s">
        <v>417</v>
      </c>
      <c r="DE10" s="171">
        <f>CV10</f>
        <v>9</v>
      </c>
    </row>
    <row r="11" spans="1:109" ht="16.5" thickBot="1">
      <c r="A11" s="517">
        <v>8</v>
      </c>
      <c r="B11" s="519">
        <v>6</v>
      </c>
      <c r="C11" s="519">
        <v>4</v>
      </c>
      <c r="D11" s="519">
        <v>2</v>
      </c>
      <c r="E11" s="519">
        <v>0</v>
      </c>
      <c r="G11" s="414">
        <v>7</v>
      </c>
      <c r="H11" s="466">
        <v>13</v>
      </c>
      <c r="I11" s="471">
        <v>20</v>
      </c>
      <c r="J11" s="308"/>
      <c r="K11" s="272">
        <f t="shared" si="0"/>
        <v>-7</v>
      </c>
      <c r="L11" s="308"/>
      <c r="M11" s="10">
        <f t="shared" si="1"/>
        <v>-1</v>
      </c>
      <c r="N11" s="10">
        <f t="shared" si="2"/>
        <v>7</v>
      </c>
      <c r="O11" s="308"/>
      <c r="P11" s="10">
        <f t="shared" si="3"/>
        <v>-1</v>
      </c>
      <c r="Q11" s="10">
        <f>RANK(N11,N5:N39,1)</f>
        <v>7</v>
      </c>
      <c r="R11" s="308"/>
      <c r="S11" s="10">
        <f t="shared" si="4"/>
        <v>-1</v>
      </c>
      <c r="T11" s="488">
        <f t="shared" si="5"/>
        <v>7</v>
      </c>
      <c r="U11" s="308"/>
      <c r="V11" s="10">
        <f t="shared" si="6"/>
        <v>-7</v>
      </c>
      <c r="W11" s="473" t="s">
        <v>424</v>
      </c>
      <c r="Y11" s="308"/>
      <c r="Z11" s="308"/>
      <c r="AA11" s="308"/>
      <c r="AB11" s="308"/>
      <c r="AC11" s="308"/>
      <c r="AD11" s="414">
        <v>7</v>
      </c>
      <c r="AE11" s="491">
        <f>SMALL(T5:T39,7)</f>
        <v>7</v>
      </c>
      <c r="AF11" s="465"/>
      <c r="AG11" s="308"/>
      <c r="AH11" s="308"/>
      <c r="AI11" s="308"/>
      <c r="AJ11" s="308"/>
      <c r="AK11" s="308"/>
      <c r="AL11" s="308"/>
      <c r="AM11" s="308"/>
      <c r="AN11" s="308"/>
      <c r="AO11" s="385"/>
      <c r="AQ11" s="414">
        <v>7</v>
      </c>
      <c r="AR11" s="466">
        <v>7</v>
      </c>
      <c r="AS11" s="471">
        <v>4</v>
      </c>
      <c r="AT11" s="308"/>
      <c r="AU11" s="272">
        <f t="shared" si="7"/>
        <v>3</v>
      </c>
      <c r="AV11" s="308"/>
      <c r="AW11" s="10">
        <f t="shared" si="8"/>
        <v>1</v>
      </c>
      <c r="AX11" s="10">
        <f t="shared" si="9"/>
        <v>3</v>
      </c>
      <c r="AY11" s="308"/>
      <c r="AZ11" s="10">
        <f t="shared" si="10"/>
        <v>1</v>
      </c>
      <c r="BA11" s="10">
        <f>RANK(AX11,AX5:AX19,1)</f>
        <v>6</v>
      </c>
      <c r="BB11" s="308"/>
      <c r="BC11" s="10">
        <f t="shared" si="11"/>
        <v>1</v>
      </c>
      <c r="BD11" s="488">
        <f t="shared" si="12"/>
        <v>6</v>
      </c>
      <c r="BE11" s="308"/>
      <c r="BF11" s="10">
        <f t="shared" si="13"/>
        <v>6</v>
      </c>
      <c r="BG11" s="308"/>
      <c r="BH11" s="308"/>
      <c r="BI11" s="308"/>
      <c r="BL11" s="383" t="s">
        <v>416</v>
      </c>
      <c r="BM11" s="10">
        <f>MIN(BM8:BM9)</f>
        <v>29</v>
      </c>
      <c r="BN11" s="465"/>
      <c r="BO11" s="308"/>
      <c r="BP11" s="308"/>
      <c r="BQ11" s="308"/>
      <c r="BR11" s="308"/>
      <c r="BS11" s="308"/>
      <c r="BT11" s="308"/>
      <c r="BU11" s="308"/>
      <c r="BV11" s="308"/>
      <c r="BZ11" s="414">
        <v>7</v>
      </c>
      <c r="CA11" s="500">
        <v>35</v>
      </c>
      <c r="CB11" s="499">
        <v>14</v>
      </c>
      <c r="CC11" s="9"/>
      <c r="CD11" s="171">
        <f t="shared" si="14"/>
        <v>21</v>
      </c>
      <c r="CE11" s="9"/>
      <c r="CF11" s="171">
        <f t="shared" si="15"/>
        <v>1</v>
      </c>
      <c r="CG11" s="171">
        <f t="shared" si="16"/>
        <v>21</v>
      </c>
      <c r="CH11" s="9"/>
      <c r="CI11" s="171">
        <f t="shared" si="17"/>
        <v>1</v>
      </c>
      <c r="CJ11" s="171">
        <f>RANK(CG11,CG5:CG19,1)</f>
        <v>7</v>
      </c>
      <c r="CK11" s="9"/>
      <c r="CL11" s="171">
        <f t="shared" si="18"/>
        <v>1</v>
      </c>
      <c r="CM11" s="171">
        <f t="shared" si="19"/>
        <v>7</v>
      </c>
      <c r="CN11" s="9"/>
      <c r="CO11" s="171">
        <f t="shared" si="20"/>
        <v>7</v>
      </c>
      <c r="CP11" s="9"/>
      <c r="CQ11" s="9"/>
      <c r="CR11" s="9"/>
      <c r="CS11" s="9"/>
      <c r="CT11" s="9"/>
      <c r="CU11" s="9"/>
      <c r="CV11" s="9"/>
      <c r="CW11" s="9"/>
      <c r="CX11" s="506"/>
      <c r="CY11" s="9"/>
      <c r="CZ11" s="9"/>
      <c r="DA11" s="9"/>
      <c r="DB11" s="9"/>
      <c r="DC11" s="9"/>
      <c r="DD11" s="9"/>
      <c r="DE11" s="9"/>
    </row>
    <row r="12" spans="1:109" ht="16.5" thickBot="1">
      <c r="A12" s="517">
        <v>9</v>
      </c>
      <c r="B12" s="519">
        <v>8</v>
      </c>
      <c r="C12" s="519">
        <v>6</v>
      </c>
      <c r="D12" s="519">
        <v>3</v>
      </c>
      <c r="E12" s="519">
        <v>2</v>
      </c>
      <c r="G12" s="414">
        <v>8</v>
      </c>
      <c r="H12" s="466">
        <v>12</v>
      </c>
      <c r="I12" s="471">
        <v>20</v>
      </c>
      <c r="J12" s="308"/>
      <c r="K12" s="272">
        <f t="shared" si="0"/>
        <v>-8</v>
      </c>
      <c r="L12" s="308"/>
      <c r="M12" s="10">
        <f t="shared" si="1"/>
        <v>-1</v>
      </c>
      <c r="N12" s="10">
        <f t="shared" si="2"/>
        <v>8</v>
      </c>
      <c r="O12" s="308"/>
      <c r="P12" s="10">
        <f t="shared" si="3"/>
        <v>-1</v>
      </c>
      <c r="Q12" s="10">
        <f>RANK(N12,N5:N39,1)</f>
        <v>8</v>
      </c>
      <c r="R12" s="308"/>
      <c r="S12" s="10">
        <f t="shared" si="4"/>
        <v>-1</v>
      </c>
      <c r="T12" s="488">
        <f t="shared" si="5"/>
        <v>8</v>
      </c>
      <c r="U12" s="308"/>
      <c r="V12" s="10">
        <f t="shared" si="6"/>
        <v>-8</v>
      </c>
      <c r="W12" s="308"/>
      <c r="X12" s="308"/>
      <c r="Y12" s="308"/>
      <c r="Z12" s="308"/>
      <c r="AA12" s="308"/>
      <c r="AB12" s="383" t="s">
        <v>423</v>
      </c>
      <c r="AC12" s="10">
        <f>COUNTIF(V5:V39,"&lt;0")+COUNTIF(V5:V39,"&gt;0")</f>
        <v>35</v>
      </c>
      <c r="AD12" s="414">
        <v>8</v>
      </c>
      <c r="AE12" s="491">
        <f>SMALL(T5:T39,8)</f>
        <v>8</v>
      </c>
      <c r="AF12" s="465"/>
      <c r="AG12" s="308"/>
      <c r="AH12" s="308"/>
      <c r="AI12" s="308"/>
      <c r="AJ12" s="308"/>
      <c r="AK12" s="308"/>
      <c r="AL12" s="308"/>
      <c r="AM12" s="308"/>
      <c r="AN12" s="308"/>
      <c r="AO12" s="385"/>
      <c r="AQ12" s="414">
        <v>8</v>
      </c>
      <c r="AR12" s="466">
        <v>8</v>
      </c>
      <c r="AS12" s="471">
        <v>8</v>
      </c>
      <c r="AT12" s="308"/>
      <c r="AU12" s="272">
        <f t="shared" si="7"/>
        <v>0</v>
      </c>
      <c r="AV12" s="308"/>
      <c r="AW12" s="10">
        <f t="shared" si="8"/>
        <v>0</v>
      </c>
      <c r="AX12" s="10">
        <f t="shared" si="9"/>
        <v>0</v>
      </c>
      <c r="AY12" s="308"/>
      <c r="AZ12" s="10">
        <f t="shared" si="10"/>
        <v>0</v>
      </c>
      <c r="BA12" s="10">
        <f>RANK(AX12,AX5:AX19,1)</f>
        <v>1</v>
      </c>
      <c r="BB12" s="308"/>
      <c r="BC12" s="10">
        <f t="shared" si="11"/>
        <v>0</v>
      </c>
      <c r="BD12" s="488">
        <f t="shared" si="12"/>
        <v>1</v>
      </c>
      <c r="BE12" s="308"/>
      <c r="BF12" s="10">
        <f t="shared" si="13"/>
        <v>0</v>
      </c>
      <c r="BG12" s="473" t="s">
        <v>429</v>
      </c>
      <c r="BI12" s="308"/>
      <c r="BJ12" s="308"/>
      <c r="BK12" s="308"/>
      <c r="BL12" s="308"/>
      <c r="BM12" s="308"/>
      <c r="BN12" s="465"/>
      <c r="BO12" s="308"/>
      <c r="BP12" s="308"/>
      <c r="BQ12" s="308"/>
      <c r="BR12" s="308"/>
      <c r="BS12" s="308"/>
      <c r="BT12" s="308"/>
      <c r="BU12" s="308"/>
      <c r="BV12" s="308"/>
      <c r="BZ12" s="414">
        <v>8</v>
      </c>
      <c r="CA12" s="500">
        <v>40</v>
      </c>
      <c r="CB12" s="499">
        <v>2</v>
      </c>
      <c r="CC12" s="9"/>
      <c r="CD12" s="171">
        <f t="shared" si="14"/>
        <v>38</v>
      </c>
      <c r="CE12" s="9"/>
      <c r="CF12" s="171">
        <f t="shared" si="15"/>
        <v>1</v>
      </c>
      <c r="CG12" s="171">
        <f t="shared" si="16"/>
        <v>38</v>
      </c>
      <c r="CH12" s="9"/>
      <c r="CI12" s="171">
        <f t="shared" si="17"/>
        <v>1</v>
      </c>
      <c r="CJ12" s="171">
        <f>RANK(CG12,CG5:CG19,1)</f>
        <v>9</v>
      </c>
      <c r="CK12" s="9"/>
      <c r="CL12" s="171">
        <f t="shared" si="18"/>
        <v>1</v>
      </c>
      <c r="CM12" s="171">
        <f t="shared" si="19"/>
        <v>9</v>
      </c>
      <c r="CN12" s="9"/>
      <c r="CO12" s="171">
        <f t="shared" si="20"/>
        <v>9</v>
      </c>
      <c r="CP12" s="9"/>
      <c r="CQ12" s="9"/>
      <c r="CR12" s="9"/>
      <c r="CS12" s="9"/>
      <c r="CT12" s="9"/>
      <c r="CU12" s="9"/>
      <c r="CV12" s="9"/>
      <c r="CW12" s="9"/>
      <c r="CX12" s="506"/>
      <c r="CY12" s="9"/>
      <c r="CZ12" s="9"/>
      <c r="DA12" s="9"/>
      <c r="DB12" s="9"/>
      <c r="DC12" s="9"/>
      <c r="DD12" s="9"/>
      <c r="DE12" s="9"/>
    </row>
    <row r="13" spans="1:109" ht="16.5" thickBot="1">
      <c r="A13" s="517">
        <v>10</v>
      </c>
      <c r="B13" s="519">
        <v>11</v>
      </c>
      <c r="C13" s="519">
        <v>8</v>
      </c>
      <c r="D13" s="519">
        <v>5</v>
      </c>
      <c r="E13" s="519">
        <v>3</v>
      </c>
      <c r="G13" s="414">
        <v>9</v>
      </c>
      <c r="H13" s="466">
        <v>11</v>
      </c>
      <c r="I13" s="471">
        <v>20</v>
      </c>
      <c r="J13" s="308"/>
      <c r="K13" s="272">
        <f t="shared" si="0"/>
        <v>-9</v>
      </c>
      <c r="L13" s="308"/>
      <c r="M13" s="10">
        <f t="shared" si="1"/>
        <v>-1</v>
      </c>
      <c r="N13" s="10">
        <f t="shared" si="2"/>
        <v>9</v>
      </c>
      <c r="O13" s="308"/>
      <c r="P13" s="10">
        <f t="shared" si="3"/>
        <v>-1</v>
      </c>
      <c r="Q13" s="10">
        <f>RANK(N13,N5:N39,1)</f>
        <v>9</v>
      </c>
      <c r="R13" s="308"/>
      <c r="S13" s="10">
        <f t="shared" si="4"/>
        <v>-1</v>
      </c>
      <c r="T13" s="488">
        <f t="shared" si="5"/>
        <v>9</v>
      </c>
      <c r="U13" s="308"/>
      <c r="V13" s="10">
        <f t="shared" si="6"/>
        <v>-9</v>
      </c>
      <c r="W13" s="308"/>
      <c r="X13" s="308"/>
      <c r="Y13" s="308"/>
      <c r="Z13" s="308"/>
      <c r="AB13" s="308"/>
      <c r="AC13" s="308"/>
      <c r="AD13" s="414">
        <v>9</v>
      </c>
      <c r="AE13" s="491">
        <f>SMALL(T5:T39,9)</f>
        <v>9</v>
      </c>
      <c r="AF13" s="465"/>
      <c r="AG13" s="308"/>
      <c r="AH13" s="308"/>
      <c r="AI13" s="308"/>
      <c r="AJ13" s="308"/>
      <c r="AK13" s="308"/>
      <c r="AL13" s="308"/>
      <c r="AM13" s="308"/>
      <c r="AN13" s="308"/>
      <c r="AO13" s="385"/>
      <c r="AQ13" s="414">
        <v>9</v>
      </c>
      <c r="AR13" s="466">
        <v>9</v>
      </c>
      <c r="AS13" s="471">
        <v>2</v>
      </c>
      <c r="AT13" s="308"/>
      <c r="AU13" s="272">
        <f t="shared" si="7"/>
        <v>7</v>
      </c>
      <c r="AV13" s="308"/>
      <c r="AW13" s="10">
        <f t="shared" si="8"/>
        <v>1</v>
      </c>
      <c r="AX13" s="10">
        <f t="shared" si="9"/>
        <v>7</v>
      </c>
      <c r="AY13" s="308"/>
      <c r="AZ13" s="10">
        <f t="shared" si="10"/>
        <v>1</v>
      </c>
      <c r="BA13" s="10">
        <f>RANK(AX13,AX5:AX19,1)</f>
        <v>9</v>
      </c>
      <c r="BB13" s="308"/>
      <c r="BC13" s="10">
        <f t="shared" si="11"/>
        <v>1</v>
      </c>
      <c r="BD13" s="488">
        <f t="shared" si="12"/>
        <v>9</v>
      </c>
      <c r="BE13" s="308"/>
      <c r="BF13" s="10">
        <f t="shared" si="13"/>
        <v>9</v>
      </c>
      <c r="BG13" s="308"/>
      <c r="BH13" s="308"/>
      <c r="BI13" s="308"/>
      <c r="BJ13" s="308"/>
      <c r="BK13" s="308"/>
      <c r="BL13" s="383" t="s">
        <v>423</v>
      </c>
      <c r="BM13" s="10">
        <f>COUNTIF(BF5:BF19,"&lt;0")+COUNTIF(BF5:BF19,"&gt;0")</f>
        <v>13</v>
      </c>
      <c r="BN13" s="465"/>
      <c r="BO13" s="308"/>
      <c r="BP13" s="308"/>
      <c r="BQ13" s="308"/>
      <c r="BR13" s="308"/>
      <c r="BS13" s="308"/>
      <c r="BT13" s="308"/>
      <c r="BU13" s="308"/>
      <c r="BV13" s="308"/>
      <c r="BZ13" s="414">
        <v>9</v>
      </c>
      <c r="CA13" s="500">
        <v>45</v>
      </c>
      <c r="CB13" s="499">
        <v>16</v>
      </c>
      <c r="CC13" s="9"/>
      <c r="CD13" s="171">
        <f t="shared" si="14"/>
        <v>29</v>
      </c>
      <c r="CE13" s="9"/>
      <c r="CF13" s="171">
        <f t="shared" si="15"/>
        <v>1</v>
      </c>
      <c r="CG13" s="171">
        <f t="shared" si="16"/>
        <v>29</v>
      </c>
      <c r="CH13" s="9"/>
      <c r="CI13" s="171">
        <f t="shared" si="17"/>
        <v>1</v>
      </c>
      <c r="CJ13" s="171">
        <f>RANK(CG13,CG5:CG19,1)</f>
        <v>8</v>
      </c>
      <c r="CK13" s="9"/>
      <c r="CL13" s="171">
        <f t="shared" si="18"/>
        <v>1</v>
      </c>
      <c r="CM13" s="171">
        <f t="shared" si="19"/>
        <v>8</v>
      </c>
      <c r="CN13" s="9"/>
      <c r="CO13" s="171">
        <f t="shared" si="20"/>
        <v>8</v>
      </c>
      <c r="CP13" s="9"/>
      <c r="CQ13" s="9"/>
      <c r="CR13" s="9"/>
      <c r="CS13" s="9"/>
      <c r="CT13" s="9"/>
      <c r="CU13" s="9"/>
      <c r="CV13" s="9"/>
      <c r="CW13" s="9"/>
      <c r="CX13" s="506"/>
      <c r="CY13" s="9"/>
      <c r="CZ13" s="9"/>
      <c r="DA13" s="9"/>
      <c r="DB13" s="9"/>
      <c r="DC13" s="9"/>
      <c r="DD13" s="9"/>
      <c r="DE13" s="9"/>
    </row>
    <row r="14" spans="1:109" ht="16.5" thickBot="1">
      <c r="A14" s="517">
        <v>11</v>
      </c>
      <c r="B14" s="519">
        <v>14</v>
      </c>
      <c r="C14" s="519">
        <v>11</v>
      </c>
      <c r="D14" s="519">
        <v>7</v>
      </c>
      <c r="E14" s="519">
        <v>5</v>
      </c>
      <c r="G14" s="414">
        <v>10</v>
      </c>
      <c r="H14" s="466">
        <v>10</v>
      </c>
      <c r="I14" s="471">
        <v>20</v>
      </c>
      <c r="J14" s="308"/>
      <c r="K14" s="272">
        <f t="shared" si="0"/>
        <v>-10</v>
      </c>
      <c r="L14" s="308"/>
      <c r="M14" s="10">
        <f t="shared" si="1"/>
        <v>-1</v>
      </c>
      <c r="N14" s="10">
        <f t="shared" si="2"/>
        <v>10</v>
      </c>
      <c r="O14" s="308"/>
      <c r="P14" s="10">
        <f t="shared" si="3"/>
        <v>-1</v>
      </c>
      <c r="Q14" s="10">
        <f>RANK(N14,N5:N39,1)</f>
        <v>10</v>
      </c>
      <c r="R14" s="308"/>
      <c r="S14" s="10">
        <f t="shared" si="4"/>
        <v>-1</v>
      </c>
      <c r="T14" s="488">
        <f t="shared" si="5"/>
        <v>10</v>
      </c>
      <c r="U14" s="308"/>
      <c r="V14" s="10">
        <f t="shared" si="6"/>
        <v>-10</v>
      </c>
      <c r="W14" s="308"/>
      <c r="X14" s="308"/>
      <c r="Y14" s="308"/>
      <c r="Z14" s="308"/>
      <c r="AA14" s="308"/>
      <c r="AB14" s="308"/>
      <c r="AC14" s="308"/>
      <c r="AD14" s="414">
        <v>10</v>
      </c>
      <c r="AE14" s="491">
        <f>SMALL(T5:T39,10)</f>
        <v>10</v>
      </c>
      <c r="AF14" s="465"/>
      <c r="AG14" s="308"/>
      <c r="AH14" s="308"/>
      <c r="AI14" s="308"/>
      <c r="AJ14" s="308"/>
      <c r="AK14" s="308"/>
      <c r="AL14" s="308"/>
      <c r="AM14" s="308"/>
      <c r="AN14" s="308"/>
      <c r="AO14" s="385"/>
      <c r="AQ14" s="414">
        <v>10</v>
      </c>
      <c r="AR14" s="466">
        <v>10</v>
      </c>
      <c r="AS14" s="471">
        <v>1</v>
      </c>
      <c r="AT14" s="308"/>
      <c r="AU14" s="272">
        <f t="shared" si="7"/>
        <v>9</v>
      </c>
      <c r="AV14" s="308"/>
      <c r="AW14" s="10">
        <f t="shared" si="8"/>
        <v>1</v>
      </c>
      <c r="AX14" s="10">
        <f t="shared" si="9"/>
        <v>9</v>
      </c>
      <c r="AY14" s="308"/>
      <c r="AZ14" s="10">
        <f t="shared" si="10"/>
        <v>1</v>
      </c>
      <c r="BA14" s="10">
        <f>RANK(AX14,AX5:AX19,1)</f>
        <v>11</v>
      </c>
      <c r="BB14" s="308"/>
      <c r="BC14" s="10">
        <f t="shared" si="11"/>
        <v>1</v>
      </c>
      <c r="BD14" s="488">
        <f t="shared" si="12"/>
        <v>11</v>
      </c>
      <c r="BE14" s="308"/>
      <c r="BF14" s="10">
        <f t="shared" si="13"/>
        <v>11</v>
      </c>
      <c r="BG14" s="308"/>
      <c r="BH14" s="308"/>
      <c r="BI14" s="308"/>
      <c r="BJ14" s="308"/>
      <c r="BK14" s="308"/>
      <c r="BL14" s="308"/>
      <c r="BM14" s="308"/>
      <c r="BN14" s="465"/>
      <c r="BO14" s="308"/>
      <c r="BP14" s="308"/>
      <c r="BQ14" s="308"/>
      <c r="BR14" s="308"/>
      <c r="BS14" s="308"/>
      <c r="BT14" s="308"/>
      <c r="BU14" s="308"/>
      <c r="BV14" s="308"/>
      <c r="BZ14" s="414">
        <v>10</v>
      </c>
      <c r="CA14" s="500">
        <v>20</v>
      </c>
      <c r="CB14" s="499">
        <v>20</v>
      </c>
      <c r="CC14" s="9"/>
      <c r="CD14" s="171">
        <v>0</v>
      </c>
      <c r="CE14" s="9"/>
      <c r="CF14" s="171">
        <f t="shared" si="15"/>
        <v>0</v>
      </c>
      <c r="CG14" s="171"/>
      <c r="CH14" s="9"/>
      <c r="CI14" s="171"/>
      <c r="CJ14" s="171"/>
      <c r="CK14" s="9"/>
      <c r="CL14" s="171"/>
      <c r="CM14" s="171"/>
      <c r="CN14" s="9"/>
      <c r="CO14" s="171"/>
      <c r="CP14" s="9"/>
      <c r="CQ14" s="9"/>
      <c r="CR14" s="9"/>
      <c r="CS14" s="9"/>
      <c r="CT14" s="9"/>
      <c r="CU14" s="9"/>
      <c r="CV14" s="9"/>
      <c r="CW14" s="9"/>
      <c r="CX14" s="506"/>
      <c r="CY14" s="9"/>
      <c r="CZ14" s="9"/>
      <c r="DA14" s="9"/>
      <c r="DB14" s="9"/>
      <c r="DC14" s="9"/>
      <c r="DD14" s="9"/>
      <c r="DE14" s="9"/>
    </row>
    <row r="15" spans="1:109" ht="16.5" thickBot="1">
      <c r="A15" s="517">
        <v>12</v>
      </c>
      <c r="B15" s="519">
        <v>17</v>
      </c>
      <c r="C15" s="519">
        <v>14</v>
      </c>
      <c r="D15" s="519">
        <v>10</v>
      </c>
      <c r="E15" s="519">
        <v>7</v>
      </c>
      <c r="G15" s="414">
        <v>11</v>
      </c>
      <c r="H15" s="466">
        <v>9</v>
      </c>
      <c r="I15" s="471">
        <v>20</v>
      </c>
      <c r="J15" s="308"/>
      <c r="K15" s="272">
        <f t="shared" si="0"/>
        <v>-11</v>
      </c>
      <c r="L15" s="308"/>
      <c r="M15" s="10">
        <f t="shared" si="1"/>
        <v>-1</v>
      </c>
      <c r="N15" s="10">
        <f t="shared" si="2"/>
        <v>11</v>
      </c>
      <c r="O15" s="308"/>
      <c r="P15" s="10">
        <f t="shared" si="3"/>
        <v>-1</v>
      </c>
      <c r="Q15" s="10">
        <f>RANK(N15,N5:N39,1)</f>
        <v>11</v>
      </c>
      <c r="R15" s="308"/>
      <c r="S15" s="10">
        <f t="shared" si="4"/>
        <v>-1</v>
      </c>
      <c r="T15" s="488">
        <f t="shared" si="5"/>
        <v>11</v>
      </c>
      <c r="U15" s="308"/>
      <c r="V15" s="10">
        <f t="shared" si="6"/>
        <v>-11</v>
      </c>
      <c r="W15" s="308"/>
      <c r="X15" s="308"/>
      <c r="Y15" s="308"/>
      <c r="Z15" s="308"/>
      <c r="AA15" s="308"/>
      <c r="AB15" s="308"/>
      <c r="AC15" s="308"/>
      <c r="AD15" s="414">
        <v>11</v>
      </c>
      <c r="AE15" s="491">
        <f>SMALL(T5:T39,11)</f>
        <v>11</v>
      </c>
      <c r="AF15" s="465"/>
      <c r="AG15" s="308"/>
      <c r="AH15" s="308"/>
      <c r="AI15" s="308"/>
      <c r="AJ15" s="308"/>
      <c r="AK15" s="308"/>
      <c r="AL15" s="308"/>
      <c r="AM15" s="308"/>
      <c r="AN15" s="308"/>
      <c r="AO15" s="385"/>
      <c r="AQ15" s="414">
        <v>11</v>
      </c>
      <c r="AR15" s="466">
        <v>11</v>
      </c>
      <c r="AS15" s="471">
        <v>30</v>
      </c>
      <c r="AT15" s="308"/>
      <c r="AU15" s="272">
        <f t="shared" si="7"/>
        <v>-19</v>
      </c>
      <c r="AV15" s="308"/>
      <c r="AW15" s="10">
        <f t="shared" si="8"/>
        <v>-1</v>
      </c>
      <c r="AX15" s="10">
        <f t="shared" si="9"/>
        <v>19</v>
      </c>
      <c r="AY15" s="308"/>
      <c r="AZ15" s="10">
        <f t="shared" si="10"/>
        <v>-1</v>
      </c>
      <c r="BA15" s="10">
        <f>RANK(AX15,AX5:AX19,1)</f>
        <v>14</v>
      </c>
      <c r="BB15" s="308"/>
      <c r="BC15" s="10">
        <f t="shared" si="11"/>
        <v>-1</v>
      </c>
      <c r="BD15" s="488">
        <f t="shared" si="12"/>
        <v>14</v>
      </c>
      <c r="BE15" s="308"/>
      <c r="BF15" s="10">
        <f t="shared" si="13"/>
        <v>-14</v>
      </c>
      <c r="BG15" s="308"/>
      <c r="BH15" s="308"/>
      <c r="BI15" s="308"/>
      <c r="BJ15" s="308"/>
      <c r="BK15" s="308"/>
      <c r="BL15" s="308"/>
      <c r="BM15" s="308"/>
      <c r="BN15" s="465"/>
      <c r="BO15" s="308"/>
      <c r="BP15" s="308"/>
      <c r="BQ15" s="308"/>
      <c r="BR15" s="308"/>
      <c r="BS15" s="308"/>
      <c r="BT15" s="308"/>
      <c r="BU15" s="308"/>
      <c r="BV15" s="308"/>
      <c r="BZ15" s="414">
        <v>11</v>
      </c>
      <c r="CA15" s="500">
        <v>11</v>
      </c>
      <c r="CB15" s="499">
        <v>30</v>
      </c>
      <c r="CC15" s="9"/>
      <c r="CD15" s="171">
        <f t="shared" si="14"/>
        <v>-19</v>
      </c>
      <c r="CE15" s="9"/>
      <c r="CF15" s="171">
        <f t="shared" si="15"/>
        <v>-1</v>
      </c>
      <c r="CG15" s="171">
        <f t="shared" si="16"/>
        <v>19</v>
      </c>
      <c r="CH15" s="9"/>
      <c r="CI15" s="171">
        <f t="shared" si="17"/>
        <v>-1</v>
      </c>
      <c r="CJ15" s="171">
        <f>RANK(CG15,CG5:CG19,1)</f>
        <v>5</v>
      </c>
      <c r="CK15" s="9"/>
      <c r="CL15" s="171">
        <f t="shared" si="18"/>
        <v>-1</v>
      </c>
      <c r="CM15" s="171">
        <v>5.5</v>
      </c>
      <c r="CN15" s="9"/>
      <c r="CO15" s="171">
        <f t="shared" si="20"/>
        <v>-5.5</v>
      </c>
      <c r="CP15" s="9"/>
      <c r="CQ15" s="9"/>
      <c r="CR15" s="9"/>
      <c r="CS15" s="9"/>
      <c r="CT15" s="9"/>
      <c r="CU15" s="9"/>
      <c r="CV15" s="9"/>
      <c r="CW15" s="9"/>
      <c r="CX15" s="506"/>
      <c r="CY15" s="9"/>
      <c r="CZ15" s="9"/>
      <c r="DA15" s="9"/>
      <c r="DB15" s="9"/>
      <c r="DC15" s="9"/>
      <c r="DD15" s="9"/>
      <c r="DE15" s="9"/>
    </row>
    <row r="16" spans="1:109" ht="16.5" thickBot="1">
      <c r="A16" s="517">
        <v>13</v>
      </c>
      <c r="B16" s="519">
        <v>21</v>
      </c>
      <c r="C16" s="519">
        <v>17</v>
      </c>
      <c r="D16" s="519">
        <v>13</v>
      </c>
      <c r="E16" s="519">
        <v>10</v>
      </c>
      <c r="G16" s="414">
        <v>12</v>
      </c>
      <c r="H16" s="466">
        <v>8</v>
      </c>
      <c r="I16" s="471">
        <v>20</v>
      </c>
      <c r="J16" s="308"/>
      <c r="K16" s="272">
        <f t="shared" si="0"/>
        <v>-12</v>
      </c>
      <c r="L16" s="308"/>
      <c r="M16" s="10">
        <f t="shared" si="1"/>
        <v>-1</v>
      </c>
      <c r="N16" s="10">
        <f t="shared" si="2"/>
        <v>12</v>
      </c>
      <c r="O16" s="308"/>
      <c r="P16" s="10">
        <f t="shared" si="3"/>
        <v>-1</v>
      </c>
      <c r="Q16" s="10">
        <f>RANK(N16,N5:N39,1)</f>
        <v>12</v>
      </c>
      <c r="R16" s="308"/>
      <c r="S16" s="10">
        <f t="shared" si="4"/>
        <v>-1</v>
      </c>
      <c r="T16" s="488">
        <f t="shared" si="5"/>
        <v>12</v>
      </c>
      <c r="U16" s="308"/>
      <c r="V16" s="10">
        <f t="shared" si="6"/>
        <v>-12</v>
      </c>
      <c r="W16" s="308"/>
      <c r="X16" s="308"/>
      <c r="Y16" s="308"/>
      <c r="Z16" s="308"/>
      <c r="AA16" s="308"/>
      <c r="AB16" s="308"/>
      <c r="AC16" s="308"/>
      <c r="AD16" s="414">
        <v>12</v>
      </c>
      <c r="AE16" s="491">
        <f>SMALL(T5:T39,12)</f>
        <v>12</v>
      </c>
      <c r="AF16" s="465"/>
      <c r="AG16" s="308"/>
      <c r="AH16" s="308"/>
      <c r="AI16" s="308"/>
      <c r="AJ16" s="308"/>
      <c r="AK16" s="308"/>
      <c r="AL16" s="308"/>
      <c r="AM16" s="308"/>
      <c r="AN16" s="308"/>
      <c r="AO16" s="385"/>
      <c r="AQ16" s="414">
        <v>12</v>
      </c>
      <c r="AR16" s="466">
        <v>12</v>
      </c>
      <c r="AS16" s="471">
        <v>29</v>
      </c>
      <c r="AT16" s="308"/>
      <c r="AU16" s="272">
        <f t="shared" si="7"/>
        <v>-17</v>
      </c>
      <c r="AV16" s="308"/>
      <c r="AW16" s="10">
        <f t="shared" si="8"/>
        <v>-1</v>
      </c>
      <c r="AX16" s="10">
        <f t="shared" si="9"/>
        <v>17</v>
      </c>
      <c r="AY16" s="308"/>
      <c r="AZ16" s="10">
        <f t="shared" si="10"/>
        <v>-1</v>
      </c>
      <c r="BA16" s="10">
        <f>RANK(AX16,AX5:AX19,1)</f>
        <v>13</v>
      </c>
      <c r="BB16" s="308"/>
      <c r="BC16" s="10">
        <f t="shared" si="11"/>
        <v>-1</v>
      </c>
      <c r="BD16" s="488">
        <f t="shared" si="12"/>
        <v>13</v>
      </c>
      <c r="BE16" s="308"/>
      <c r="BF16" s="10">
        <f t="shared" si="13"/>
        <v>-13</v>
      </c>
      <c r="BG16" s="308"/>
      <c r="BH16" s="308"/>
      <c r="BI16" s="308"/>
      <c r="BJ16" s="308"/>
      <c r="BK16" s="308"/>
      <c r="BL16" s="308"/>
      <c r="BM16" s="308"/>
      <c r="BN16" s="465"/>
      <c r="BO16" s="308"/>
      <c r="BP16" s="308"/>
      <c r="BQ16" s="308"/>
      <c r="BR16" s="308"/>
      <c r="BS16" s="308"/>
      <c r="BT16" s="308"/>
      <c r="BU16" s="308"/>
      <c r="BV16" s="308"/>
      <c r="BZ16" s="414">
        <v>12</v>
      </c>
      <c r="CA16" s="500"/>
      <c r="CB16" s="499"/>
      <c r="CC16" s="9"/>
      <c r="CD16" s="171"/>
      <c r="CE16" s="9"/>
      <c r="CF16" s="171"/>
      <c r="CG16" s="171"/>
      <c r="CH16" s="9"/>
      <c r="CI16" s="171"/>
      <c r="CJ16" s="171"/>
      <c r="CK16" s="9"/>
      <c r="CL16" s="171"/>
      <c r="CM16" s="171"/>
      <c r="CN16" s="9"/>
      <c r="CO16" s="171"/>
      <c r="CP16" s="9"/>
      <c r="CQ16" s="9"/>
      <c r="CR16" s="9"/>
      <c r="CS16" s="9"/>
      <c r="CT16" s="9"/>
      <c r="CU16" s="9"/>
      <c r="CV16" s="9"/>
      <c r="CW16" s="9"/>
      <c r="CX16" s="506"/>
      <c r="CY16" s="9"/>
      <c r="CZ16" s="9"/>
      <c r="DA16" s="9"/>
      <c r="DB16" s="9"/>
      <c r="DC16" s="9"/>
      <c r="DD16" s="9"/>
      <c r="DE16" s="9"/>
    </row>
    <row r="17" spans="1:109" ht="16.5" thickBot="1">
      <c r="A17" s="517">
        <v>14</v>
      </c>
      <c r="B17" s="519">
        <v>26</v>
      </c>
      <c r="C17" s="519">
        <v>21</v>
      </c>
      <c r="D17" s="519">
        <v>16</v>
      </c>
      <c r="E17" s="519">
        <v>13</v>
      </c>
      <c r="G17" s="414">
        <v>13</v>
      </c>
      <c r="H17" s="466">
        <v>7</v>
      </c>
      <c r="I17" s="471">
        <v>20</v>
      </c>
      <c r="J17" s="308"/>
      <c r="K17" s="272">
        <f t="shared" si="0"/>
        <v>-13</v>
      </c>
      <c r="L17" s="308"/>
      <c r="M17" s="10">
        <f t="shared" si="1"/>
        <v>-1</v>
      </c>
      <c r="N17" s="10">
        <f t="shared" si="2"/>
        <v>13</v>
      </c>
      <c r="O17" s="308"/>
      <c r="P17" s="10">
        <f t="shared" si="3"/>
        <v>-1</v>
      </c>
      <c r="Q17" s="10">
        <f>RANK(N17,N5:N39,1)</f>
        <v>13</v>
      </c>
      <c r="R17" s="308"/>
      <c r="S17" s="10">
        <f t="shared" si="4"/>
        <v>-1</v>
      </c>
      <c r="T17" s="488">
        <f t="shared" si="5"/>
        <v>13</v>
      </c>
      <c r="U17" s="308"/>
      <c r="V17" s="10">
        <f t="shared" si="6"/>
        <v>-13</v>
      </c>
      <c r="W17" s="308"/>
      <c r="X17" s="308"/>
      <c r="Y17" s="308"/>
      <c r="Z17" s="308"/>
      <c r="AA17" s="308"/>
      <c r="AB17" s="308"/>
      <c r="AC17" s="308"/>
      <c r="AD17" s="414">
        <v>13</v>
      </c>
      <c r="AE17" s="491">
        <f>SMALL(T5:T39,13)</f>
        <v>13</v>
      </c>
      <c r="AF17" s="465"/>
      <c r="AG17" s="308"/>
      <c r="AH17" s="308"/>
      <c r="AI17" s="308"/>
      <c r="AJ17" s="308"/>
      <c r="AK17" s="308"/>
      <c r="AL17" s="308"/>
      <c r="AM17" s="308"/>
      <c r="AN17" s="308"/>
      <c r="AO17" s="385"/>
      <c r="AQ17" s="414">
        <v>13</v>
      </c>
      <c r="AR17" s="466">
        <v>13</v>
      </c>
      <c r="AS17" s="471">
        <v>12</v>
      </c>
      <c r="AT17" s="308"/>
      <c r="AU17" s="272">
        <f t="shared" si="7"/>
        <v>1</v>
      </c>
      <c r="AV17" s="308"/>
      <c r="AW17" s="10">
        <f t="shared" si="8"/>
        <v>1</v>
      </c>
      <c r="AX17" s="10">
        <f t="shared" si="9"/>
        <v>1</v>
      </c>
      <c r="AY17" s="308"/>
      <c r="AZ17" s="10">
        <f t="shared" si="10"/>
        <v>1</v>
      </c>
      <c r="BA17" s="10">
        <f>RANK(AX17,AX5:AX19,1)</f>
        <v>3</v>
      </c>
      <c r="BB17" s="308"/>
      <c r="BC17" s="10">
        <f t="shared" si="11"/>
        <v>1</v>
      </c>
      <c r="BD17" s="488">
        <f t="shared" si="12"/>
        <v>3</v>
      </c>
      <c r="BE17" s="308"/>
      <c r="BF17" s="10">
        <f t="shared" si="13"/>
        <v>3</v>
      </c>
      <c r="BG17" s="308"/>
      <c r="BH17" s="308"/>
      <c r="BI17" s="308"/>
      <c r="BJ17" s="308"/>
      <c r="BK17" s="308"/>
      <c r="BL17" s="308"/>
      <c r="BM17" s="308"/>
      <c r="BN17" s="465"/>
      <c r="BO17" s="308"/>
      <c r="BP17" s="308"/>
      <c r="BQ17" s="308"/>
      <c r="BR17" s="308"/>
      <c r="BS17" s="308"/>
      <c r="BT17" s="308"/>
      <c r="BU17" s="308"/>
      <c r="BV17" s="308"/>
      <c r="BZ17" s="414">
        <v>13</v>
      </c>
      <c r="CA17" s="500"/>
      <c r="CB17" s="499"/>
      <c r="CC17" s="9"/>
      <c r="CD17" s="171"/>
      <c r="CE17" s="9"/>
      <c r="CF17" s="171"/>
      <c r="CG17" s="171"/>
      <c r="CH17" s="9"/>
      <c r="CI17" s="171"/>
      <c r="CJ17" s="171"/>
      <c r="CK17" s="9"/>
      <c r="CL17" s="171"/>
      <c r="CM17" s="171"/>
      <c r="CN17" s="9"/>
      <c r="CO17" s="171"/>
      <c r="CP17" s="9"/>
      <c r="CQ17" s="9"/>
      <c r="CR17" s="9"/>
      <c r="CS17" s="9"/>
      <c r="CT17" s="9"/>
      <c r="CU17" s="9"/>
      <c r="CV17" s="9"/>
      <c r="CW17" s="9"/>
      <c r="CX17" s="506"/>
      <c r="CY17" s="9"/>
      <c r="CZ17" s="9"/>
      <c r="DA17" s="9"/>
      <c r="DB17" s="9"/>
      <c r="DC17" s="9"/>
      <c r="DD17" s="9"/>
      <c r="DE17" s="9"/>
    </row>
    <row r="18" spans="1:109" ht="16.5" thickBot="1">
      <c r="A18" s="517">
        <v>15</v>
      </c>
      <c r="B18" s="519">
        <v>30</v>
      </c>
      <c r="C18" s="519">
        <v>25</v>
      </c>
      <c r="D18" s="519">
        <v>20</v>
      </c>
      <c r="E18" s="519">
        <v>16</v>
      </c>
      <c r="G18" s="414">
        <v>14</v>
      </c>
      <c r="H18" s="466">
        <v>6</v>
      </c>
      <c r="I18" s="471">
        <v>20</v>
      </c>
      <c r="J18" s="308"/>
      <c r="K18" s="272">
        <f t="shared" si="0"/>
        <v>-14</v>
      </c>
      <c r="L18" s="308"/>
      <c r="M18" s="10">
        <f t="shared" si="1"/>
        <v>-1</v>
      </c>
      <c r="N18" s="10">
        <f t="shared" si="2"/>
        <v>14</v>
      </c>
      <c r="O18" s="308"/>
      <c r="P18" s="10">
        <f t="shared" si="3"/>
        <v>-1</v>
      </c>
      <c r="Q18" s="10">
        <f>RANK(N18,N5:N39,1)</f>
        <v>14</v>
      </c>
      <c r="R18" s="308"/>
      <c r="S18" s="10">
        <f t="shared" si="4"/>
        <v>-1</v>
      </c>
      <c r="T18" s="488">
        <f t="shared" si="5"/>
        <v>14</v>
      </c>
      <c r="U18" s="308"/>
      <c r="V18" s="10">
        <f t="shared" si="6"/>
        <v>-14</v>
      </c>
      <c r="W18" s="101"/>
      <c r="X18" s="101"/>
      <c r="Y18" s="101"/>
      <c r="Z18" s="101"/>
      <c r="AA18" s="101"/>
      <c r="AB18" s="101"/>
      <c r="AC18" s="101"/>
      <c r="AD18" s="414">
        <v>14</v>
      </c>
      <c r="AE18" s="491">
        <f>SMALL(T5:T39,14)</f>
        <v>14</v>
      </c>
      <c r="AF18" s="465"/>
      <c r="AG18" s="308"/>
      <c r="AH18" s="308"/>
      <c r="AI18" s="308"/>
      <c r="AJ18" s="308"/>
      <c r="AK18" s="308"/>
      <c r="AL18" s="308"/>
      <c r="AM18" s="383" t="s">
        <v>418</v>
      </c>
      <c r="AN18" s="309">
        <f>(AN8-0.5)/SQRT((AN10*(AN10+1)*(2*AN10+1))/6)</f>
        <v>2.0432980862030763</v>
      </c>
      <c r="AO18" s="385"/>
      <c r="AQ18" s="414">
        <v>14</v>
      </c>
      <c r="AR18" s="467">
        <v>14</v>
      </c>
      <c r="AS18" s="467">
        <v>35</v>
      </c>
      <c r="AT18" s="308"/>
      <c r="AU18" s="484">
        <f t="shared" si="7"/>
        <v>-21</v>
      </c>
      <c r="AV18" s="308"/>
      <c r="AW18" s="394">
        <f t="shared" si="8"/>
        <v>-1</v>
      </c>
      <c r="AX18" s="394">
        <f t="shared" si="9"/>
        <v>21</v>
      </c>
      <c r="AY18" s="308"/>
      <c r="AZ18" s="10">
        <f t="shared" si="10"/>
        <v>-1</v>
      </c>
      <c r="BA18" s="10">
        <f>RANK(AX18,AX5:AX19,1)</f>
        <v>15</v>
      </c>
      <c r="BB18" s="308"/>
      <c r="BC18" s="10">
        <f t="shared" si="11"/>
        <v>-1</v>
      </c>
      <c r="BD18" s="488">
        <f t="shared" si="12"/>
        <v>15</v>
      </c>
      <c r="BE18" s="308"/>
      <c r="BF18" s="10">
        <f t="shared" si="13"/>
        <v>-15</v>
      </c>
      <c r="BG18" s="101"/>
      <c r="BH18" s="101"/>
      <c r="BI18" s="101"/>
      <c r="BJ18" s="101"/>
      <c r="BK18" s="101"/>
      <c r="BL18" s="101"/>
      <c r="BM18" s="101"/>
      <c r="BN18" s="465"/>
      <c r="BO18" s="308"/>
      <c r="BP18" s="308"/>
      <c r="BQ18" s="308"/>
      <c r="BR18" s="308"/>
      <c r="BS18" s="308"/>
      <c r="BT18" s="308"/>
      <c r="BU18" s="383" t="s">
        <v>418</v>
      </c>
      <c r="BV18" s="309">
        <f>(BV8-0.5)/SQRT((BV10*(BV10+1)*(2*BV10+1))/6)</f>
        <v>1.9043841200448182</v>
      </c>
      <c r="BZ18" s="414">
        <v>14</v>
      </c>
      <c r="CA18" s="503"/>
      <c r="CB18" s="503"/>
      <c r="CC18" s="9"/>
      <c r="CD18" s="257"/>
      <c r="CE18" s="9"/>
      <c r="CF18" s="257"/>
      <c r="CG18" s="257"/>
      <c r="CH18" s="9"/>
      <c r="CI18" s="171"/>
      <c r="CJ18" s="171"/>
      <c r="CK18" s="9"/>
      <c r="CL18" s="171"/>
      <c r="CM18" s="171"/>
      <c r="CN18" s="9"/>
      <c r="CO18" s="171"/>
      <c r="CP18" s="9"/>
      <c r="CQ18" s="9"/>
      <c r="CR18" s="9"/>
      <c r="CS18" s="9"/>
      <c r="CT18" s="9"/>
      <c r="CU18" s="173" t="s">
        <v>418</v>
      </c>
      <c r="CV18" s="504">
        <f>(CV8-0.25*CV10*(CV10+1))/SQRT((CV10*(CV10+1)*(2*CV10+1))/24)</f>
        <v>-1.54010708217364</v>
      </c>
      <c r="CW18" s="9"/>
      <c r="CX18" s="506"/>
      <c r="CY18" s="9"/>
      <c r="CZ18" s="9"/>
      <c r="DA18" s="9"/>
      <c r="DB18" s="9"/>
      <c r="DC18" s="9"/>
      <c r="DD18" s="173" t="s">
        <v>418</v>
      </c>
      <c r="DE18" s="504">
        <f>(DE8-0.5)/SQRT((DE10*(DE10+1)*(2*DE10+1))/6)</f>
        <v>1.5104896382856854</v>
      </c>
    </row>
    <row r="19" spans="1:109" ht="16.5" thickBot="1">
      <c r="A19" s="517">
        <v>16</v>
      </c>
      <c r="B19" s="519">
        <v>36</v>
      </c>
      <c r="C19" s="519">
        <v>30</v>
      </c>
      <c r="D19" s="519">
        <v>24</v>
      </c>
      <c r="E19" s="519">
        <v>19</v>
      </c>
      <c r="G19" s="414">
        <v>15</v>
      </c>
      <c r="H19" s="466">
        <v>5</v>
      </c>
      <c r="I19" s="471">
        <v>20</v>
      </c>
      <c r="J19" s="308"/>
      <c r="K19" s="272">
        <f t="shared" si="0"/>
        <v>-15</v>
      </c>
      <c r="L19" s="308"/>
      <c r="M19" s="10">
        <f t="shared" si="1"/>
        <v>-1</v>
      </c>
      <c r="N19" s="10">
        <f t="shared" si="2"/>
        <v>15</v>
      </c>
      <c r="O19" s="308"/>
      <c r="P19" s="10">
        <f t="shared" si="3"/>
        <v>-1</v>
      </c>
      <c r="Q19" s="10">
        <f>RANK(N19,N5:N39,1)</f>
        <v>15</v>
      </c>
      <c r="R19" s="308"/>
      <c r="S19" s="10">
        <f t="shared" si="4"/>
        <v>-1</v>
      </c>
      <c r="T19" s="488">
        <f t="shared" si="5"/>
        <v>15</v>
      </c>
      <c r="U19" s="308"/>
      <c r="V19" s="10">
        <f t="shared" si="6"/>
        <v>-15</v>
      </c>
      <c r="W19" s="308"/>
      <c r="X19" s="308"/>
      <c r="Y19" s="308"/>
      <c r="Z19" s="308"/>
      <c r="AD19" s="414">
        <v>15</v>
      </c>
      <c r="AE19" s="491">
        <f>SMALL(T5:T39,15)</f>
        <v>15</v>
      </c>
      <c r="AF19" s="101"/>
      <c r="AG19" s="3"/>
      <c r="AH19" s="3"/>
      <c r="AI19" s="3"/>
      <c r="AJ19" s="3"/>
      <c r="AK19" s="3"/>
      <c r="AL19" s="3"/>
      <c r="AM19" s="472" t="s">
        <v>387</v>
      </c>
      <c r="AN19" s="478">
        <f>NORMDIST(AN18,0,1,0)</f>
        <v>0.04946588357455943</v>
      </c>
      <c r="AO19" s="476"/>
      <c r="AQ19" s="414">
        <v>15</v>
      </c>
      <c r="AR19" s="292">
        <v>15</v>
      </c>
      <c r="AS19" s="292">
        <v>17</v>
      </c>
      <c r="AT19" s="308"/>
      <c r="AU19" s="272">
        <f t="shared" si="7"/>
        <v>-2</v>
      </c>
      <c r="AV19" s="308"/>
      <c r="AW19" s="10">
        <f t="shared" si="8"/>
        <v>-1</v>
      </c>
      <c r="AX19" s="10">
        <f t="shared" si="9"/>
        <v>2</v>
      </c>
      <c r="AY19" s="308"/>
      <c r="AZ19" s="10">
        <f t="shared" si="10"/>
        <v>-1</v>
      </c>
      <c r="BA19" s="10">
        <f>RANK(AX19,AX5:AX19,1)</f>
        <v>5</v>
      </c>
      <c r="BB19" s="308"/>
      <c r="BC19" s="10">
        <f t="shared" si="11"/>
        <v>-1</v>
      </c>
      <c r="BD19" s="488">
        <f t="shared" si="12"/>
        <v>5</v>
      </c>
      <c r="BE19" s="308"/>
      <c r="BF19" s="10">
        <f t="shared" si="13"/>
        <v>-5</v>
      </c>
      <c r="BG19" s="308"/>
      <c r="BH19" s="308"/>
      <c r="BI19" s="308"/>
      <c r="BJ19" s="308"/>
      <c r="BN19" s="101"/>
      <c r="BO19" s="3"/>
      <c r="BP19" s="3"/>
      <c r="BQ19" s="3"/>
      <c r="BR19" s="3"/>
      <c r="BS19" s="3"/>
      <c r="BT19" s="3"/>
      <c r="BU19" s="472" t="s">
        <v>387</v>
      </c>
      <c r="BV19" s="478">
        <f>NORMDIST(BV18,0,1,0)</f>
        <v>0.06507089107019996</v>
      </c>
      <c r="BZ19" s="414">
        <v>15</v>
      </c>
      <c r="CA19" s="171"/>
      <c r="CB19" s="171"/>
      <c r="CC19" s="9"/>
      <c r="CD19" s="171"/>
      <c r="CE19" s="9"/>
      <c r="CF19" s="171"/>
      <c r="CG19" s="171"/>
      <c r="CH19" s="9"/>
      <c r="CI19" s="171"/>
      <c r="CJ19" s="171"/>
      <c r="CK19" s="9"/>
      <c r="CL19" s="171"/>
      <c r="CM19" s="171"/>
      <c r="CN19" s="9"/>
      <c r="CO19" s="171"/>
      <c r="CP19" s="9"/>
      <c r="CQ19" s="9"/>
      <c r="CR19" s="9"/>
      <c r="CS19" s="9"/>
      <c r="CT19" s="9"/>
      <c r="CU19" s="170" t="s">
        <v>387</v>
      </c>
      <c r="CV19" s="504">
        <f>NORMDIST(CV18,0,1,0)</f>
        <v>0.12185743958700676</v>
      </c>
      <c r="CW19" s="84"/>
      <c r="CX19" s="509"/>
      <c r="CY19" s="84"/>
      <c r="CZ19" s="84"/>
      <c r="DA19" s="84"/>
      <c r="DB19" s="84"/>
      <c r="DC19" s="84"/>
      <c r="DD19" s="170" t="s">
        <v>387</v>
      </c>
      <c r="DE19" s="504">
        <f>NORMDIST(DE18,0,1,0)</f>
        <v>0.12748864121158254</v>
      </c>
    </row>
    <row r="20" spans="1:109" ht="16.5" thickBot="1">
      <c r="A20" s="517">
        <v>17</v>
      </c>
      <c r="B20" s="519">
        <v>41</v>
      </c>
      <c r="C20" s="519">
        <v>35</v>
      </c>
      <c r="D20" s="519">
        <v>28</v>
      </c>
      <c r="E20" s="519">
        <v>23</v>
      </c>
      <c r="G20" s="414">
        <v>16</v>
      </c>
      <c r="H20" s="466">
        <v>4</v>
      </c>
      <c r="I20" s="471">
        <v>20</v>
      </c>
      <c r="J20" s="308"/>
      <c r="K20" s="272">
        <f t="shared" si="0"/>
        <v>-16</v>
      </c>
      <c r="L20" s="308"/>
      <c r="M20" s="10">
        <f t="shared" si="1"/>
        <v>-1</v>
      </c>
      <c r="N20" s="10">
        <f t="shared" si="2"/>
        <v>16</v>
      </c>
      <c r="O20" s="308"/>
      <c r="P20" s="10">
        <f t="shared" si="3"/>
        <v>-1</v>
      </c>
      <c r="Q20" s="10">
        <f>RANK(N20,N5:N39,1)</f>
        <v>16</v>
      </c>
      <c r="R20" s="308"/>
      <c r="S20" s="10">
        <f t="shared" si="4"/>
        <v>-1</v>
      </c>
      <c r="T20" s="488">
        <f t="shared" si="5"/>
        <v>16</v>
      </c>
      <c r="U20" s="308"/>
      <c r="V20" s="10">
        <f t="shared" si="6"/>
        <v>-16</v>
      </c>
      <c r="W20" s="4" t="s">
        <v>451</v>
      </c>
      <c r="X20" s="308"/>
      <c r="Y20" s="308"/>
      <c r="Z20" s="308"/>
      <c r="AA20" s="308"/>
      <c r="AB20" s="308"/>
      <c r="AC20" s="308"/>
      <c r="AD20" s="414">
        <v>16</v>
      </c>
      <c r="AE20" s="491">
        <f>SMALL(T5:T39,16)</f>
        <v>16</v>
      </c>
      <c r="AF20" s="465"/>
      <c r="AG20" s="308"/>
      <c r="AH20" s="308"/>
      <c r="AI20" s="308"/>
      <c r="AJ20" s="308"/>
      <c r="AK20" s="308"/>
      <c r="AL20" s="308"/>
      <c r="AM20" s="308"/>
      <c r="AN20" s="308"/>
      <c r="AO20" s="385"/>
      <c r="AQ20" s="435"/>
      <c r="AR20" s="308"/>
      <c r="AS20" s="308"/>
      <c r="AT20" s="308"/>
      <c r="AU20" s="308"/>
      <c r="AV20" s="308"/>
      <c r="AW20" s="308"/>
      <c r="AX20" s="308"/>
      <c r="AY20" s="308"/>
      <c r="AZ20" s="308"/>
      <c r="BA20" s="308"/>
      <c r="BB20" s="308"/>
      <c r="BC20" s="308"/>
      <c r="BD20" s="308"/>
      <c r="BE20" s="308"/>
      <c r="BF20" s="308"/>
      <c r="BG20" s="4" t="s">
        <v>451</v>
      </c>
      <c r="BH20" s="308"/>
      <c r="BI20" s="308"/>
      <c r="BJ20" s="308"/>
      <c r="BK20" s="308"/>
      <c r="BL20" s="308"/>
      <c r="BM20" s="308"/>
      <c r="BN20" s="465"/>
      <c r="BO20" s="308"/>
      <c r="BP20" s="308"/>
      <c r="BQ20" s="308"/>
      <c r="BR20" s="308"/>
      <c r="BS20" s="308"/>
      <c r="BT20" s="308"/>
      <c r="BU20" s="308"/>
      <c r="BV20" s="308"/>
      <c r="BZ20" s="414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506"/>
      <c r="CY20" s="9"/>
      <c r="CZ20" s="9"/>
      <c r="DA20" s="9"/>
      <c r="DB20" s="9"/>
      <c r="DC20" s="9"/>
      <c r="DD20" s="9"/>
      <c r="DE20" s="9"/>
    </row>
    <row r="21" spans="1:109" ht="16.5" thickBot="1">
      <c r="A21" s="517">
        <v>18</v>
      </c>
      <c r="B21" s="519">
        <v>47</v>
      </c>
      <c r="C21" s="519">
        <v>40</v>
      </c>
      <c r="D21" s="519">
        <v>33</v>
      </c>
      <c r="E21" s="519">
        <v>28</v>
      </c>
      <c r="G21" s="414">
        <v>17</v>
      </c>
      <c r="H21" s="466">
        <v>3</v>
      </c>
      <c r="I21" s="471">
        <v>20</v>
      </c>
      <c r="J21" s="308"/>
      <c r="K21" s="272">
        <f t="shared" si="0"/>
        <v>-17</v>
      </c>
      <c r="L21" s="308"/>
      <c r="M21" s="10">
        <f t="shared" si="1"/>
        <v>-1</v>
      </c>
      <c r="N21" s="10">
        <f t="shared" si="2"/>
        <v>17</v>
      </c>
      <c r="O21" s="308"/>
      <c r="P21" s="10">
        <f t="shared" si="3"/>
        <v>-1</v>
      </c>
      <c r="Q21" s="10">
        <f>RANK(N21,N5:N39,1)</f>
        <v>17</v>
      </c>
      <c r="R21" s="308"/>
      <c r="S21" s="10">
        <f t="shared" si="4"/>
        <v>-1</v>
      </c>
      <c r="T21" s="488">
        <f t="shared" si="5"/>
        <v>17</v>
      </c>
      <c r="U21" s="308"/>
      <c r="V21" s="10">
        <f t="shared" si="6"/>
        <v>-17</v>
      </c>
      <c r="X21" s="396" t="s">
        <v>454</v>
      </c>
      <c r="Z21" s="308"/>
      <c r="AB21" s="308"/>
      <c r="AC21" s="308"/>
      <c r="AD21" s="414">
        <v>17</v>
      </c>
      <c r="AE21" s="491">
        <f>SMALL(T5:T39,17)</f>
        <v>17</v>
      </c>
      <c r="AF21" s="465"/>
      <c r="AG21" s="308"/>
      <c r="AH21" s="308"/>
      <c r="AI21" s="308"/>
      <c r="AJ21" s="308"/>
      <c r="AK21" s="308"/>
      <c r="AL21" s="308"/>
      <c r="AM21" s="308"/>
      <c r="AN21" s="308"/>
      <c r="AO21" s="385"/>
      <c r="AQ21" s="435"/>
      <c r="AR21" s="308"/>
      <c r="AS21" s="308"/>
      <c r="AT21" s="308"/>
      <c r="AU21" s="144" t="s">
        <v>406</v>
      </c>
      <c r="AV21" s="308"/>
      <c r="AW21" s="308"/>
      <c r="AX21" s="308"/>
      <c r="AY21" s="308"/>
      <c r="AZ21" s="308"/>
      <c r="BA21" s="308"/>
      <c r="BB21" s="308"/>
      <c r="BC21" s="308"/>
      <c r="BD21" s="144" t="s">
        <v>431</v>
      </c>
      <c r="BE21" s="308"/>
      <c r="BF21" s="308"/>
      <c r="BH21" s="396" t="s">
        <v>454</v>
      </c>
      <c r="BJ21" s="308"/>
      <c r="BL21" s="308"/>
      <c r="BM21" s="308"/>
      <c r="BN21" s="465"/>
      <c r="BO21" s="308"/>
      <c r="BP21" s="308"/>
      <c r="BQ21" s="308"/>
      <c r="BR21" s="308"/>
      <c r="BS21" s="308"/>
      <c r="BT21" s="308"/>
      <c r="BU21" s="308"/>
      <c r="BV21" s="308"/>
      <c r="BZ21" s="414"/>
      <c r="CA21" s="9"/>
      <c r="CB21" s="9"/>
      <c r="CC21" s="9"/>
      <c r="CD21" s="449" t="s">
        <v>406</v>
      </c>
      <c r="CE21" s="9"/>
      <c r="CF21" s="9"/>
      <c r="CG21" s="9"/>
      <c r="CH21" s="9"/>
      <c r="CI21" s="9"/>
      <c r="CJ21" s="9"/>
      <c r="CK21" s="9"/>
      <c r="CL21" s="9"/>
      <c r="CM21" s="449" t="s">
        <v>431</v>
      </c>
      <c r="CN21" s="9"/>
      <c r="CO21" s="9"/>
      <c r="CP21" s="9"/>
      <c r="CQ21" s="9"/>
      <c r="CS21" s="9"/>
      <c r="CT21" s="9"/>
      <c r="CU21" s="9"/>
      <c r="CV21" s="9"/>
      <c r="CW21" s="9"/>
      <c r="CX21" s="506"/>
      <c r="CY21" s="9"/>
      <c r="CZ21" s="9"/>
      <c r="DA21" s="9"/>
      <c r="DB21" s="9"/>
      <c r="DC21" s="9"/>
      <c r="DD21" s="9"/>
      <c r="DE21" s="9"/>
    </row>
    <row r="22" spans="1:109" ht="16.5" thickBot="1">
      <c r="A22" s="517">
        <v>19</v>
      </c>
      <c r="B22" s="519">
        <v>54</v>
      </c>
      <c r="C22" s="519">
        <v>46</v>
      </c>
      <c r="D22" s="519">
        <v>38</v>
      </c>
      <c r="E22" s="519">
        <v>32</v>
      </c>
      <c r="G22" s="414">
        <v>18</v>
      </c>
      <c r="H22" s="466">
        <v>2</v>
      </c>
      <c r="I22" s="471">
        <v>20</v>
      </c>
      <c r="J22" s="308"/>
      <c r="K22" s="272">
        <f t="shared" si="0"/>
        <v>-18</v>
      </c>
      <c r="L22" s="308"/>
      <c r="M22" s="10">
        <f t="shared" si="1"/>
        <v>-1</v>
      </c>
      <c r="N22" s="10">
        <f t="shared" si="2"/>
        <v>18</v>
      </c>
      <c r="O22" s="308"/>
      <c r="P22" s="10">
        <f t="shared" si="3"/>
        <v>-1</v>
      </c>
      <c r="Q22" s="10">
        <f>RANK(N22,N5:N39,1)</f>
        <v>18</v>
      </c>
      <c r="R22" s="308"/>
      <c r="S22" s="10">
        <f t="shared" si="4"/>
        <v>-1</v>
      </c>
      <c r="T22" s="488">
        <f t="shared" si="5"/>
        <v>18</v>
      </c>
      <c r="U22" s="308"/>
      <c r="V22" s="10">
        <f t="shared" si="6"/>
        <v>-18</v>
      </c>
      <c r="W22" s="308"/>
      <c r="X22" s="308"/>
      <c r="Y22" s="308"/>
      <c r="Z22" s="308"/>
      <c r="AA22" s="308"/>
      <c r="AB22" s="308"/>
      <c r="AC22" s="308"/>
      <c r="AD22" s="414">
        <v>18</v>
      </c>
      <c r="AE22" s="491">
        <f>SMALL(T5:T39,18)</f>
        <v>18</v>
      </c>
      <c r="AF22" s="465"/>
      <c r="AG22" s="308"/>
      <c r="AH22" s="308"/>
      <c r="AI22" s="308"/>
      <c r="AJ22" s="308"/>
      <c r="AK22" s="308"/>
      <c r="AL22" s="308"/>
      <c r="AM22" s="308"/>
      <c r="AN22" s="308"/>
      <c r="AO22" s="385"/>
      <c r="AQ22" s="435"/>
      <c r="AR22" s="308"/>
      <c r="AS22" s="308"/>
      <c r="AT22" s="308"/>
      <c r="AU22" s="10">
        <f>SMALL(AU5:AU19,1)</f>
        <v>-21</v>
      </c>
      <c r="AV22" s="308"/>
      <c r="AW22" s="308"/>
      <c r="AX22" s="308"/>
      <c r="AY22" s="308"/>
      <c r="AZ22" s="308"/>
      <c r="BA22" s="308"/>
      <c r="BB22" s="308"/>
      <c r="BC22" s="308">
        <v>1</v>
      </c>
      <c r="BD22" s="10">
        <f>SMALL(BD5:BD19,1)</f>
        <v>1</v>
      </c>
      <c r="BE22" s="308"/>
      <c r="BF22" s="308"/>
      <c r="BG22" s="308"/>
      <c r="BH22" s="308"/>
      <c r="BI22" s="308"/>
      <c r="BJ22" s="308"/>
      <c r="BK22" s="308"/>
      <c r="BL22" s="308"/>
      <c r="BM22" s="308"/>
      <c r="BN22" s="465"/>
      <c r="BO22" s="308"/>
      <c r="BP22" s="308"/>
      <c r="BQ22" s="308"/>
      <c r="BR22" s="308"/>
      <c r="BS22" s="308"/>
      <c r="BT22" s="308"/>
      <c r="BU22" s="308"/>
      <c r="BV22" s="308"/>
      <c r="BZ22" s="414"/>
      <c r="CA22" s="9"/>
      <c r="CB22" s="9"/>
      <c r="CC22" s="9"/>
      <c r="CD22" s="171">
        <f>SMALL(CD5:CD19,1)</f>
        <v>-19</v>
      </c>
      <c r="CE22" s="9"/>
      <c r="CF22" s="9"/>
      <c r="CG22" s="9"/>
      <c r="CH22" s="9"/>
      <c r="CI22" s="9"/>
      <c r="CJ22" s="9"/>
      <c r="CK22" s="9"/>
      <c r="CL22" s="9">
        <v>1</v>
      </c>
      <c r="CM22" s="171">
        <f>SMALL(CM5:CM19,1)</f>
        <v>1</v>
      </c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506"/>
      <c r="CY22" s="9"/>
      <c r="CZ22" s="9"/>
      <c r="DA22" s="9"/>
      <c r="DB22" s="9"/>
      <c r="DC22" s="9"/>
      <c r="DD22" s="9"/>
      <c r="DE22" s="9"/>
    </row>
    <row r="23" spans="1:109" ht="16.5" thickBot="1">
      <c r="A23" s="517">
        <v>20</v>
      </c>
      <c r="B23" s="519">
        <v>60</v>
      </c>
      <c r="C23" s="519">
        <v>52</v>
      </c>
      <c r="D23" s="519">
        <v>43</v>
      </c>
      <c r="E23" s="519">
        <v>37</v>
      </c>
      <c r="G23" s="414">
        <v>19</v>
      </c>
      <c r="H23" s="467">
        <v>1</v>
      </c>
      <c r="I23" s="471">
        <v>20</v>
      </c>
      <c r="J23" s="308"/>
      <c r="K23" s="272">
        <f t="shared" si="0"/>
        <v>-19</v>
      </c>
      <c r="L23" s="308"/>
      <c r="M23" s="10">
        <f>IF(K23&lt;0,-1,IF(K23=0,0,IF(K23&gt;0,1)))</f>
        <v>-1</v>
      </c>
      <c r="N23" s="10">
        <f>ABS(K23)</f>
        <v>19</v>
      </c>
      <c r="O23" s="308"/>
      <c r="P23" s="10">
        <f>M23</f>
        <v>-1</v>
      </c>
      <c r="Q23" s="10">
        <f>RANK(N23,N5:N39,1)</f>
        <v>19</v>
      </c>
      <c r="R23" s="308"/>
      <c r="S23" s="10">
        <f>P23</f>
        <v>-1</v>
      </c>
      <c r="T23" s="488">
        <f>Q23</f>
        <v>19</v>
      </c>
      <c r="U23" s="308"/>
      <c r="V23" s="10">
        <f t="shared" si="6"/>
        <v>-19</v>
      </c>
      <c r="W23" s="308"/>
      <c r="X23" s="308"/>
      <c r="Y23" s="308"/>
      <c r="Z23" s="429"/>
      <c r="AA23" s="308"/>
      <c r="AB23" s="308"/>
      <c r="AC23" s="308"/>
      <c r="AD23" s="414">
        <v>19</v>
      </c>
      <c r="AE23" s="491">
        <f>SMALL(T5:T39,19)</f>
        <v>19</v>
      </c>
      <c r="AF23" s="465"/>
      <c r="AG23" s="308"/>
      <c r="AH23" s="308"/>
      <c r="AI23" s="308"/>
      <c r="AJ23" s="308"/>
      <c r="AK23" s="308"/>
      <c r="AL23" s="308"/>
      <c r="AM23" s="308"/>
      <c r="AN23" s="308"/>
      <c r="AO23" s="385"/>
      <c r="AQ23" s="435"/>
      <c r="AR23" s="308"/>
      <c r="AS23" s="308"/>
      <c r="AT23" s="308"/>
      <c r="AU23" s="10">
        <f>SMALL(AU5:AU19,2)</f>
        <v>-19</v>
      </c>
      <c r="AV23" s="308"/>
      <c r="AW23" s="308"/>
      <c r="AX23" s="308"/>
      <c r="AY23" s="308"/>
      <c r="AZ23" s="308"/>
      <c r="BA23" s="308"/>
      <c r="BB23" s="308"/>
      <c r="BC23" s="308">
        <v>2</v>
      </c>
      <c r="BD23" s="10">
        <f>SMALL(BD5:BD19,2)</f>
        <v>1</v>
      </c>
      <c r="BE23" s="308"/>
      <c r="BF23" s="308"/>
      <c r="BG23" s="308"/>
      <c r="BH23" s="308"/>
      <c r="BI23" s="308"/>
      <c r="BJ23" s="429"/>
      <c r="BK23" s="308"/>
      <c r="BL23" s="308"/>
      <c r="BM23" s="308"/>
      <c r="BN23" s="465"/>
      <c r="BO23" s="308"/>
      <c r="BP23" s="308"/>
      <c r="BQ23" s="308"/>
      <c r="BR23" s="308"/>
      <c r="BS23" s="308"/>
      <c r="BT23" s="308"/>
      <c r="BU23" s="308"/>
      <c r="BV23" s="308"/>
      <c r="BZ23" s="414"/>
      <c r="CA23" s="9"/>
      <c r="CB23" s="9"/>
      <c r="CC23" s="9"/>
      <c r="CD23" s="171">
        <f>SMALL(CD5:CD19,2)</f>
        <v>-5</v>
      </c>
      <c r="CE23" s="9"/>
      <c r="CF23" s="9"/>
      <c r="CG23" s="9"/>
      <c r="CH23" s="9"/>
      <c r="CI23" s="9"/>
      <c r="CJ23" s="9"/>
      <c r="CK23" s="9"/>
      <c r="CL23" s="9">
        <v>2</v>
      </c>
      <c r="CM23" s="171">
        <f>SMALL(CM5:CM19,2)</f>
        <v>2</v>
      </c>
      <c r="CN23" s="9"/>
      <c r="CO23" s="9"/>
      <c r="CP23" s="9"/>
      <c r="CQ23" s="9"/>
      <c r="CR23" s="9"/>
      <c r="CS23" s="411"/>
      <c r="CT23" s="9"/>
      <c r="CU23" s="9"/>
      <c r="CV23" s="9"/>
      <c r="CW23" s="9"/>
      <c r="CX23" s="506"/>
      <c r="CY23" s="9"/>
      <c r="CZ23" s="9"/>
      <c r="DA23" s="9"/>
      <c r="DB23" s="9"/>
      <c r="DC23" s="9"/>
      <c r="DD23" s="9"/>
      <c r="DE23" s="9"/>
    </row>
    <row r="24" spans="1:109" ht="16.5" thickBot="1">
      <c r="A24" s="517">
        <v>21</v>
      </c>
      <c r="B24" s="519">
        <v>68</v>
      </c>
      <c r="C24" s="519">
        <v>59</v>
      </c>
      <c r="D24" s="519">
        <v>49</v>
      </c>
      <c r="E24" s="519">
        <v>43</v>
      </c>
      <c r="G24" s="414">
        <v>20</v>
      </c>
      <c r="H24" s="468">
        <v>50</v>
      </c>
      <c r="I24" s="471">
        <v>20</v>
      </c>
      <c r="J24" s="308"/>
      <c r="K24" s="272">
        <f t="shared" si="0"/>
        <v>30</v>
      </c>
      <c r="L24" s="308"/>
      <c r="M24" s="10">
        <f t="shared" si="1"/>
        <v>1</v>
      </c>
      <c r="N24" s="10">
        <f t="shared" si="2"/>
        <v>30</v>
      </c>
      <c r="O24" s="308"/>
      <c r="P24" s="10">
        <f t="shared" si="3"/>
        <v>1</v>
      </c>
      <c r="Q24" s="10">
        <f>RANK(N24,N5:N39,1)</f>
        <v>20</v>
      </c>
      <c r="R24" s="308"/>
      <c r="S24" s="10">
        <f t="shared" si="4"/>
        <v>1</v>
      </c>
      <c r="T24" s="488">
        <f t="shared" si="5"/>
        <v>20</v>
      </c>
      <c r="U24" s="308"/>
      <c r="V24" s="10">
        <f t="shared" si="6"/>
        <v>20</v>
      </c>
      <c r="W24" s="308"/>
      <c r="X24" s="308"/>
      <c r="Y24" s="308"/>
      <c r="Z24" s="308"/>
      <c r="AA24" s="308"/>
      <c r="AB24" s="308"/>
      <c r="AC24" s="308"/>
      <c r="AD24" s="414">
        <v>20</v>
      </c>
      <c r="AE24" s="491">
        <f>SMALL(T5:T39,20)</f>
        <v>20</v>
      </c>
      <c r="AF24" s="465"/>
      <c r="AG24" s="308"/>
      <c r="AH24" s="308"/>
      <c r="AI24" s="308"/>
      <c r="AJ24" s="308"/>
      <c r="AK24" s="308"/>
      <c r="AL24" s="308"/>
      <c r="AM24" s="308"/>
      <c r="AN24" s="308"/>
      <c r="AO24" s="385"/>
      <c r="AQ24" s="435"/>
      <c r="AR24" s="308"/>
      <c r="AS24" s="308"/>
      <c r="AT24" s="308"/>
      <c r="AU24" s="10">
        <f>SMALL(AU5:AU19,3)</f>
        <v>-17</v>
      </c>
      <c r="AV24" s="308"/>
      <c r="AW24" s="308"/>
      <c r="AX24" s="308"/>
      <c r="AY24" s="308"/>
      <c r="AZ24" s="308"/>
      <c r="BA24" s="308"/>
      <c r="BB24" s="308"/>
      <c r="BC24" s="308">
        <v>3</v>
      </c>
      <c r="BD24" s="10">
        <f>SMALL(BD5:BD19,3)</f>
        <v>3</v>
      </c>
      <c r="BE24" s="308"/>
      <c r="BF24" s="308"/>
      <c r="BG24" s="308"/>
      <c r="BH24" s="308"/>
      <c r="BI24" s="308"/>
      <c r="BJ24" s="308"/>
      <c r="BK24" s="308"/>
      <c r="BL24" s="308"/>
      <c r="BM24" s="308"/>
      <c r="BN24" s="465"/>
      <c r="BO24" s="308"/>
      <c r="BP24" s="308"/>
      <c r="BQ24" s="308"/>
      <c r="BR24" s="308"/>
      <c r="BS24" s="308"/>
      <c r="BT24" s="308"/>
      <c r="BU24" s="308"/>
      <c r="BV24" s="308"/>
      <c r="BZ24" s="414"/>
      <c r="CA24" s="9"/>
      <c r="CB24" s="9"/>
      <c r="CC24" s="9"/>
      <c r="CD24" s="171">
        <f>SMALL(CD5:CD19,3)</f>
        <v>-3</v>
      </c>
      <c r="CE24" s="9"/>
      <c r="CF24" s="9"/>
      <c r="CG24" s="9"/>
      <c r="CH24" s="9"/>
      <c r="CI24" s="9"/>
      <c r="CJ24" s="9"/>
      <c r="CK24" s="9"/>
      <c r="CL24" s="9">
        <v>3</v>
      </c>
      <c r="CM24" s="171">
        <f>SMALL(CM5:CM19,3)</f>
        <v>3</v>
      </c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506"/>
      <c r="CY24" s="9"/>
      <c r="CZ24" s="9"/>
      <c r="DA24" s="9"/>
      <c r="DB24" s="9"/>
      <c r="DC24" s="9"/>
      <c r="DD24" s="9"/>
      <c r="DE24" s="9"/>
    </row>
    <row r="25" spans="1:109" ht="16.5" thickBot="1">
      <c r="A25" s="517">
        <v>22</v>
      </c>
      <c r="B25" s="519">
        <v>75</v>
      </c>
      <c r="C25" s="519">
        <v>66</v>
      </c>
      <c r="D25" s="519">
        <v>56</v>
      </c>
      <c r="E25" s="519">
        <v>49</v>
      </c>
      <c r="G25" s="435">
        <v>21</v>
      </c>
      <c r="H25" s="468">
        <v>51</v>
      </c>
      <c r="I25" s="471">
        <v>20</v>
      </c>
      <c r="J25" s="383"/>
      <c r="K25" s="272">
        <f aca="true" t="shared" si="21" ref="K25:K39">H25-I25</f>
        <v>31</v>
      </c>
      <c r="L25" s="308"/>
      <c r="M25" s="10">
        <f aca="true" t="shared" si="22" ref="M25:M39">IF(K25&lt;0,-1,IF(K25=0,0,IF(K25&gt;0,1)))</f>
        <v>1</v>
      </c>
      <c r="N25" s="10">
        <f aca="true" t="shared" si="23" ref="N25:N39">ABS(K25)</f>
        <v>31</v>
      </c>
      <c r="O25" s="308"/>
      <c r="P25" s="10">
        <f aca="true" t="shared" si="24" ref="P25:P39">M25</f>
        <v>1</v>
      </c>
      <c r="Q25" s="10">
        <f>RANK(N25,N5:N39,1)</f>
        <v>21</v>
      </c>
      <c r="R25" s="308"/>
      <c r="S25" s="10">
        <f aca="true" t="shared" si="25" ref="S25:S39">P25</f>
        <v>1</v>
      </c>
      <c r="T25" s="488">
        <f aca="true" t="shared" si="26" ref="T25:T39">Q25</f>
        <v>21</v>
      </c>
      <c r="U25" s="308"/>
      <c r="V25" s="10">
        <f aca="true" t="shared" si="27" ref="V25:V39">S25*T25</f>
        <v>21</v>
      </c>
      <c r="W25" s="308"/>
      <c r="X25" s="308"/>
      <c r="Y25" s="308"/>
      <c r="Z25" s="308"/>
      <c r="AA25" s="308"/>
      <c r="AB25" s="308"/>
      <c r="AC25" s="308"/>
      <c r="AD25" s="435">
        <v>21</v>
      </c>
      <c r="AE25" s="491">
        <f>SMALL(T5:T39,21)</f>
        <v>21</v>
      </c>
      <c r="AF25" s="465"/>
      <c r="AG25" s="308"/>
      <c r="AH25" s="308"/>
      <c r="AI25" s="308"/>
      <c r="AJ25" s="308"/>
      <c r="AK25" s="308"/>
      <c r="AL25" s="308"/>
      <c r="AM25" s="308"/>
      <c r="AN25" s="308"/>
      <c r="AO25" s="385"/>
      <c r="AQ25" s="435"/>
      <c r="AR25" s="308"/>
      <c r="AS25" s="308"/>
      <c r="AT25" s="383"/>
      <c r="AU25" s="10">
        <f>SMALL(AU5:AU19,4)</f>
        <v>-9</v>
      </c>
      <c r="AV25" s="308"/>
      <c r="AW25" s="308"/>
      <c r="AX25" s="308"/>
      <c r="AY25" s="308"/>
      <c r="AZ25" s="308"/>
      <c r="BA25" s="308"/>
      <c r="BB25" s="308"/>
      <c r="BC25" s="308">
        <v>4</v>
      </c>
      <c r="BD25" s="10">
        <f>SMALL(BD5:BD19,4)</f>
        <v>3</v>
      </c>
      <c r="BE25" s="308"/>
      <c r="BF25" s="308"/>
      <c r="BG25" s="308"/>
      <c r="BH25" s="308"/>
      <c r="BI25" s="308"/>
      <c r="BJ25" s="308"/>
      <c r="BK25" s="308"/>
      <c r="BL25" s="308"/>
      <c r="BM25" s="308"/>
      <c r="BN25" s="465"/>
      <c r="BO25" s="308"/>
      <c r="BP25" s="308"/>
      <c r="BQ25" s="308"/>
      <c r="BR25" s="308"/>
      <c r="BS25" s="308"/>
      <c r="BT25" s="308"/>
      <c r="BU25" s="308"/>
      <c r="BV25" s="308"/>
      <c r="BZ25" s="414"/>
      <c r="CA25" s="9"/>
      <c r="CB25" s="9"/>
      <c r="CC25" s="173"/>
      <c r="CD25" s="171">
        <f>SMALL(CD5:CD19,4)</f>
        <v>0</v>
      </c>
      <c r="CE25" s="9"/>
      <c r="CF25" s="9"/>
      <c r="CG25" s="9"/>
      <c r="CH25" s="9"/>
      <c r="CI25" s="9"/>
      <c r="CJ25" s="9"/>
      <c r="CK25" s="9"/>
      <c r="CL25" s="9">
        <v>4</v>
      </c>
      <c r="CM25" s="171">
        <f>SMALL(CM5:CM19,4)</f>
        <v>4</v>
      </c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506"/>
      <c r="CY25" s="9"/>
      <c r="CZ25" s="9"/>
      <c r="DA25" s="9"/>
      <c r="DB25" s="9"/>
      <c r="DC25" s="9"/>
      <c r="DD25" s="9"/>
      <c r="DE25" s="9"/>
    </row>
    <row r="26" spans="1:109" ht="16.5" thickBot="1">
      <c r="A26" s="517">
        <v>23</v>
      </c>
      <c r="B26" s="519">
        <v>93</v>
      </c>
      <c r="C26" s="519">
        <v>73</v>
      </c>
      <c r="D26" s="519">
        <v>62</v>
      </c>
      <c r="E26" s="519">
        <v>55</v>
      </c>
      <c r="G26" s="435">
        <v>22</v>
      </c>
      <c r="H26" s="468">
        <v>52</v>
      </c>
      <c r="I26" s="471">
        <v>20</v>
      </c>
      <c r="K26" s="272">
        <f t="shared" si="21"/>
        <v>32</v>
      </c>
      <c r="L26" s="308"/>
      <c r="M26" s="10">
        <f t="shared" si="22"/>
        <v>1</v>
      </c>
      <c r="N26" s="10">
        <f t="shared" si="23"/>
        <v>32</v>
      </c>
      <c r="O26" s="308"/>
      <c r="P26" s="10">
        <f t="shared" si="24"/>
        <v>1</v>
      </c>
      <c r="Q26" s="10">
        <f>RANK(N26,N5:N39,1)</f>
        <v>22</v>
      </c>
      <c r="R26" s="308"/>
      <c r="S26" s="10">
        <f t="shared" si="25"/>
        <v>1</v>
      </c>
      <c r="T26" s="488">
        <f t="shared" si="26"/>
        <v>22</v>
      </c>
      <c r="U26" s="308"/>
      <c r="V26" s="10">
        <f t="shared" si="27"/>
        <v>22</v>
      </c>
      <c r="X26" s="429"/>
      <c r="Y26" s="429"/>
      <c r="Z26" s="429"/>
      <c r="AA26" s="429"/>
      <c r="AB26" s="429"/>
      <c r="AC26" s="429"/>
      <c r="AD26" s="435">
        <v>22</v>
      </c>
      <c r="AE26" s="491">
        <f>SMALL(T5:T39,22)</f>
        <v>22</v>
      </c>
      <c r="AF26" s="465"/>
      <c r="AG26" s="429"/>
      <c r="AM26" s="429"/>
      <c r="AN26" s="429"/>
      <c r="AO26" s="356"/>
      <c r="AQ26" s="435"/>
      <c r="AR26" s="308"/>
      <c r="AS26" s="308"/>
      <c r="AT26" s="3"/>
      <c r="AU26" s="10">
        <f>SMALL(AU5:AU19,5)</f>
        <v>-7</v>
      </c>
      <c r="AV26" s="308"/>
      <c r="AW26" s="308"/>
      <c r="AX26" s="308"/>
      <c r="AY26" s="308"/>
      <c r="AZ26" s="308"/>
      <c r="BA26" s="308"/>
      <c r="BB26" s="308"/>
      <c r="BC26" s="308">
        <v>5</v>
      </c>
      <c r="BD26" s="10">
        <f>SMALL(BD5:BD19,5)</f>
        <v>5</v>
      </c>
      <c r="BE26" s="308"/>
      <c r="BF26" s="308"/>
      <c r="BH26" s="429"/>
      <c r="BI26" s="429"/>
      <c r="BJ26" s="429"/>
      <c r="BK26" s="308"/>
      <c r="BL26" s="383" t="s">
        <v>418</v>
      </c>
      <c r="BM26" s="309">
        <f>(BM11-0.25*BM13*(BM13+1))/SQRT((BM13*(BM13+1)*(2*BM13+1))/24)</f>
        <v>-1.1531133203941102</v>
      </c>
      <c r="BN26" s="465"/>
      <c r="BO26" s="429"/>
      <c r="BU26" s="429"/>
      <c r="BV26" s="429"/>
      <c r="BZ26" s="414"/>
      <c r="CA26" s="9"/>
      <c r="CB26" s="9"/>
      <c r="CD26" s="171">
        <f>SMALL(CD5:CD19,5)</f>
        <v>0</v>
      </c>
      <c r="CE26" s="9"/>
      <c r="CF26" s="9"/>
      <c r="CG26" s="9"/>
      <c r="CH26" s="9"/>
      <c r="CI26" s="9"/>
      <c r="CJ26" s="9"/>
      <c r="CK26" s="9"/>
      <c r="CL26" s="9">
        <v>5</v>
      </c>
      <c r="CM26" s="171">
        <f>SMALL(CM5:CM19,5)</f>
        <v>5.5</v>
      </c>
      <c r="CN26" s="9"/>
      <c r="CO26" s="9"/>
      <c r="CQ26" s="411"/>
      <c r="CR26" s="411"/>
      <c r="CS26" s="411"/>
      <c r="CT26" s="411"/>
      <c r="CU26" s="411"/>
      <c r="CV26" s="411"/>
      <c r="CW26" s="411"/>
      <c r="CX26" s="507"/>
      <c r="DD26" s="411"/>
      <c r="DE26" s="411"/>
    </row>
    <row r="27" spans="1:109" ht="16.5" thickBot="1">
      <c r="A27" s="517">
        <v>24</v>
      </c>
      <c r="B27" s="519">
        <v>92</v>
      </c>
      <c r="C27" s="519">
        <v>81</v>
      </c>
      <c r="D27" s="519">
        <v>69</v>
      </c>
      <c r="E27" s="519">
        <v>61</v>
      </c>
      <c r="G27" s="435">
        <v>23</v>
      </c>
      <c r="H27" s="468">
        <v>53</v>
      </c>
      <c r="I27" s="471">
        <v>20</v>
      </c>
      <c r="J27" s="308"/>
      <c r="K27" s="272">
        <f t="shared" si="21"/>
        <v>33</v>
      </c>
      <c r="L27" s="308"/>
      <c r="M27" s="10">
        <f t="shared" si="22"/>
        <v>1</v>
      </c>
      <c r="N27" s="10">
        <f t="shared" si="23"/>
        <v>33</v>
      </c>
      <c r="O27" s="308"/>
      <c r="P27" s="10">
        <f t="shared" si="24"/>
        <v>1</v>
      </c>
      <c r="Q27" s="10">
        <f>RANK(N27,N5:N39,1)</f>
        <v>23</v>
      </c>
      <c r="R27" s="308"/>
      <c r="S27" s="10">
        <f t="shared" si="25"/>
        <v>1</v>
      </c>
      <c r="T27" s="488">
        <f t="shared" si="26"/>
        <v>23</v>
      </c>
      <c r="U27" s="308"/>
      <c r="V27" s="10">
        <f t="shared" si="27"/>
        <v>23</v>
      </c>
      <c r="X27" s="308"/>
      <c r="Y27" s="308"/>
      <c r="Z27" s="308"/>
      <c r="AA27" s="308"/>
      <c r="AB27" s="308"/>
      <c r="AC27" s="308"/>
      <c r="AD27" s="435">
        <v>23</v>
      </c>
      <c r="AE27" s="491">
        <f>SMALL(T5:T39,23)</f>
        <v>23</v>
      </c>
      <c r="AF27" s="465"/>
      <c r="AG27" s="308"/>
      <c r="AH27" s="308"/>
      <c r="AI27" s="308"/>
      <c r="AJ27" s="308"/>
      <c r="AK27" s="308"/>
      <c r="AL27" s="308"/>
      <c r="AM27" s="308"/>
      <c r="AN27" s="308"/>
      <c r="AO27" s="385"/>
      <c r="AQ27" s="435"/>
      <c r="AR27" s="308"/>
      <c r="AS27" s="308"/>
      <c r="AT27" s="308"/>
      <c r="AU27" s="10">
        <f>SMALL(AU5:AU19,6)</f>
        <v>-5</v>
      </c>
      <c r="AV27" s="308"/>
      <c r="AW27" s="308"/>
      <c r="AX27" s="308"/>
      <c r="AY27" s="308"/>
      <c r="AZ27" s="308"/>
      <c r="BA27" s="308"/>
      <c r="BB27" s="308"/>
      <c r="BC27" s="308">
        <v>6</v>
      </c>
      <c r="BD27" s="10">
        <f>SMALL(BD5:BD19,6)</f>
        <v>6</v>
      </c>
      <c r="BE27" s="308"/>
      <c r="BF27" s="308"/>
      <c r="BH27" s="308"/>
      <c r="BI27" s="308"/>
      <c r="BJ27" s="308"/>
      <c r="BK27" s="308"/>
      <c r="BL27" s="472" t="s">
        <v>387</v>
      </c>
      <c r="BM27" s="479">
        <f>NORMDIST(BM26,0,1,0)</f>
        <v>0.20519927516217473</v>
      </c>
      <c r="BN27" s="465"/>
      <c r="BO27" s="308"/>
      <c r="BP27" s="308"/>
      <c r="BQ27" s="308"/>
      <c r="BR27" s="308"/>
      <c r="BS27" s="308"/>
      <c r="BT27" s="308"/>
      <c r="BU27" s="308"/>
      <c r="BV27" s="308"/>
      <c r="BZ27" s="414"/>
      <c r="CA27" s="9"/>
      <c r="CB27" s="9"/>
      <c r="CC27" s="9"/>
      <c r="CD27" s="171">
        <f>SMALL(CD5:CD19,6)</f>
        <v>4</v>
      </c>
      <c r="CE27" s="9"/>
      <c r="CF27" s="9"/>
      <c r="CG27" s="9"/>
      <c r="CH27" s="9"/>
      <c r="CI27" s="9"/>
      <c r="CJ27" s="9"/>
      <c r="CK27" s="9"/>
      <c r="CL27" s="9">
        <v>6</v>
      </c>
      <c r="CM27" s="171">
        <f>SMALL(CM5:CM19,6)</f>
        <v>5.5</v>
      </c>
      <c r="CN27" s="9"/>
      <c r="CO27" s="9"/>
      <c r="CQ27" s="9"/>
      <c r="CR27" s="9"/>
      <c r="CS27" s="9"/>
      <c r="CT27" s="9"/>
      <c r="CU27" s="9"/>
      <c r="CV27" s="9"/>
      <c r="CW27" s="9"/>
      <c r="CX27" s="506"/>
      <c r="CY27" s="9"/>
      <c r="CZ27" s="9"/>
      <c r="DA27" s="9"/>
      <c r="DB27" s="9"/>
      <c r="DC27" s="9"/>
      <c r="DD27" s="9"/>
      <c r="DE27" s="9"/>
    </row>
    <row r="28" spans="1:109" ht="16.5" thickBot="1">
      <c r="A28" s="517">
        <v>25</v>
      </c>
      <c r="B28" s="519">
        <v>101</v>
      </c>
      <c r="C28" s="519">
        <v>90</v>
      </c>
      <c r="D28" s="519">
        <v>77</v>
      </c>
      <c r="E28" s="519">
        <v>68</v>
      </c>
      <c r="G28" s="435">
        <v>24</v>
      </c>
      <c r="H28" s="468">
        <v>54</v>
      </c>
      <c r="I28" s="471">
        <v>20</v>
      </c>
      <c r="J28" s="308"/>
      <c r="K28" s="272">
        <f t="shared" si="21"/>
        <v>34</v>
      </c>
      <c r="L28" s="308"/>
      <c r="M28" s="10">
        <f t="shared" si="22"/>
        <v>1</v>
      </c>
      <c r="N28" s="10">
        <f t="shared" si="23"/>
        <v>34</v>
      </c>
      <c r="O28" s="308"/>
      <c r="P28" s="10">
        <f t="shared" si="24"/>
        <v>1</v>
      </c>
      <c r="Q28" s="10">
        <f>RANK(N28,N5:N39,1)</f>
        <v>24</v>
      </c>
      <c r="R28" s="308"/>
      <c r="S28" s="10">
        <f t="shared" si="25"/>
        <v>1</v>
      </c>
      <c r="T28" s="488">
        <f t="shared" si="26"/>
        <v>24</v>
      </c>
      <c r="U28" s="308"/>
      <c r="V28" s="10">
        <f t="shared" si="27"/>
        <v>24</v>
      </c>
      <c r="X28" s="183"/>
      <c r="Y28" s="183"/>
      <c r="Z28" s="183"/>
      <c r="AA28" s="308"/>
      <c r="AB28" s="383" t="s">
        <v>418</v>
      </c>
      <c r="AC28" s="309">
        <f>(AC10-0.25*AC12*(AC12+1))/SQRT((AC12*(AC12+1)*(2*AC12+1))/24)</f>
        <v>-2.04739287194697</v>
      </c>
      <c r="AD28" s="435">
        <v>24</v>
      </c>
      <c r="AE28" s="491">
        <f>SMALL(T5:T39,24)</f>
        <v>24</v>
      </c>
      <c r="AF28" s="465"/>
      <c r="AG28" s="183"/>
      <c r="AH28" s="183"/>
      <c r="AI28" s="183"/>
      <c r="AJ28" s="183"/>
      <c r="AK28" s="183"/>
      <c r="AL28" s="183"/>
      <c r="AM28" s="183"/>
      <c r="AN28" s="183"/>
      <c r="AO28" s="477"/>
      <c r="AQ28" s="435"/>
      <c r="AR28" s="308"/>
      <c r="AS28" s="308"/>
      <c r="AT28" s="308"/>
      <c r="AU28" s="10">
        <f>SMALL(AU5:AU19,7)</f>
        <v>-3</v>
      </c>
      <c r="AV28" s="308"/>
      <c r="AW28" s="308"/>
      <c r="AX28" s="308"/>
      <c r="AY28" s="308"/>
      <c r="AZ28" s="308"/>
      <c r="BA28" s="308"/>
      <c r="BB28" s="308"/>
      <c r="BC28" s="308">
        <v>7</v>
      </c>
      <c r="BD28" s="10">
        <f>SMALL(BD5:BD19,7)</f>
        <v>6</v>
      </c>
      <c r="BE28" s="308"/>
      <c r="BF28" s="308"/>
      <c r="BH28" s="183"/>
      <c r="BI28" s="183"/>
      <c r="BJ28" s="183"/>
      <c r="BK28" s="183"/>
      <c r="BL28" s="183"/>
      <c r="BM28" s="183"/>
      <c r="BN28" s="465"/>
      <c r="BO28" s="183"/>
      <c r="BP28" s="183"/>
      <c r="BQ28" s="183"/>
      <c r="BR28" s="183"/>
      <c r="BS28" s="183"/>
      <c r="BT28" s="183"/>
      <c r="BU28" s="183"/>
      <c r="BV28" s="183"/>
      <c r="BZ28" s="414"/>
      <c r="CA28" s="9"/>
      <c r="CB28" s="9"/>
      <c r="CC28" s="9"/>
      <c r="CD28" s="171">
        <f>SMALL(CD5:CD19,7)</f>
        <v>8</v>
      </c>
      <c r="CE28" s="9"/>
      <c r="CF28" s="9"/>
      <c r="CG28" s="9"/>
      <c r="CH28" s="9"/>
      <c r="CI28" s="9"/>
      <c r="CJ28" s="9"/>
      <c r="CK28" s="9"/>
      <c r="CL28" s="9">
        <v>7</v>
      </c>
      <c r="CM28" s="171">
        <f>SMALL(CM5:CM19,7)</f>
        <v>7</v>
      </c>
      <c r="CN28" s="9"/>
      <c r="CO28" s="9"/>
      <c r="CQ28" s="498"/>
      <c r="CR28" s="498"/>
      <c r="CS28" s="498"/>
      <c r="CT28" s="498"/>
      <c r="CU28" s="498"/>
      <c r="CV28" s="498"/>
      <c r="CW28" s="498"/>
      <c r="CX28" s="511"/>
      <c r="CY28" s="498"/>
      <c r="CZ28" s="498"/>
      <c r="DA28" s="498"/>
      <c r="DB28" s="498"/>
      <c r="DC28" s="498"/>
      <c r="DD28" s="498"/>
      <c r="DE28" s="498"/>
    </row>
    <row r="29" spans="1:109" ht="16.5" thickBot="1">
      <c r="A29" s="517">
        <v>26</v>
      </c>
      <c r="B29" s="519">
        <v>11</v>
      </c>
      <c r="C29" s="519">
        <v>98</v>
      </c>
      <c r="D29" s="519">
        <v>85</v>
      </c>
      <c r="E29" s="519">
        <v>76</v>
      </c>
      <c r="G29" s="435">
        <v>25</v>
      </c>
      <c r="H29" s="468">
        <v>55</v>
      </c>
      <c r="I29" s="471">
        <v>20</v>
      </c>
      <c r="J29" s="308"/>
      <c r="K29" s="272">
        <f t="shared" si="21"/>
        <v>35</v>
      </c>
      <c r="L29" s="308"/>
      <c r="M29" s="10">
        <f t="shared" si="22"/>
        <v>1</v>
      </c>
      <c r="N29" s="10">
        <f t="shared" si="23"/>
        <v>35</v>
      </c>
      <c r="O29" s="308"/>
      <c r="P29" s="10">
        <f t="shared" si="24"/>
        <v>1</v>
      </c>
      <c r="Q29" s="10">
        <f>RANK(N29,N5:N39,1)</f>
        <v>25</v>
      </c>
      <c r="R29" s="308"/>
      <c r="S29" s="10">
        <f t="shared" si="25"/>
        <v>1</v>
      </c>
      <c r="T29" s="488">
        <f t="shared" si="26"/>
        <v>25</v>
      </c>
      <c r="U29" s="308"/>
      <c r="V29" s="10">
        <f t="shared" si="27"/>
        <v>25</v>
      </c>
      <c r="W29" s="308"/>
      <c r="X29" s="383"/>
      <c r="Y29" s="383"/>
      <c r="Z29" s="383"/>
      <c r="AA29" s="308"/>
      <c r="AB29" s="472" t="s">
        <v>387</v>
      </c>
      <c r="AC29" s="479">
        <f>NORMDIST(AC28,0,1,0)</f>
        <v>0.04905332441344506</v>
      </c>
      <c r="AD29" s="435">
        <v>25</v>
      </c>
      <c r="AE29" s="491">
        <f>SMALL(T5:T39,25)</f>
        <v>25</v>
      </c>
      <c r="AF29" s="465"/>
      <c r="AG29" s="383"/>
      <c r="AH29" s="383"/>
      <c r="AI29" s="383"/>
      <c r="AJ29" s="383"/>
      <c r="AK29" s="383"/>
      <c r="AL29" s="383"/>
      <c r="AM29" s="383"/>
      <c r="AN29" s="383"/>
      <c r="AO29" s="407"/>
      <c r="AQ29" s="435"/>
      <c r="AR29" s="308"/>
      <c r="AS29" s="308"/>
      <c r="AT29" s="308"/>
      <c r="AU29" s="10">
        <f>SMALL(AU5:AU19,8)</f>
        <v>-2</v>
      </c>
      <c r="AV29" s="308"/>
      <c r="AW29" s="308"/>
      <c r="AX29" s="308"/>
      <c r="AY29" s="308"/>
      <c r="AZ29" s="308"/>
      <c r="BA29" s="308"/>
      <c r="BB29" s="308"/>
      <c r="BC29" s="308">
        <v>8</v>
      </c>
      <c r="BD29" s="10">
        <f>SMALL(BD5:BD19,8)</f>
        <v>8</v>
      </c>
      <c r="BE29" s="308"/>
      <c r="BF29" s="308"/>
      <c r="BG29" s="308"/>
      <c r="BH29" s="383"/>
      <c r="BI29" s="383"/>
      <c r="BJ29" s="383"/>
      <c r="BK29" s="383"/>
      <c r="BL29" s="383"/>
      <c r="BM29" s="383"/>
      <c r="BN29" s="465"/>
      <c r="BO29" s="383"/>
      <c r="BP29" s="383"/>
      <c r="BQ29" s="383"/>
      <c r="BR29" s="383"/>
      <c r="BS29" s="383"/>
      <c r="BT29" s="383"/>
      <c r="BU29" s="383"/>
      <c r="BV29" s="383"/>
      <c r="BZ29" s="414"/>
      <c r="CA29" s="9"/>
      <c r="CB29" s="9"/>
      <c r="CC29" s="9"/>
      <c r="CD29" s="171">
        <f>SMALL(CD5:CD19,8)</f>
        <v>19</v>
      </c>
      <c r="CE29" s="9"/>
      <c r="CF29" s="9"/>
      <c r="CG29" s="9"/>
      <c r="CH29" s="9"/>
      <c r="CI29" s="9"/>
      <c r="CJ29" s="9"/>
      <c r="CK29" s="9"/>
      <c r="CL29" s="9">
        <v>8</v>
      </c>
      <c r="CM29" s="171">
        <f>SMALL(CM5:CM19,8)</f>
        <v>8</v>
      </c>
      <c r="CN29" s="9"/>
      <c r="CO29" s="9"/>
      <c r="CP29" s="9"/>
      <c r="CQ29" s="173"/>
      <c r="CR29" s="173"/>
      <c r="CS29" s="173"/>
      <c r="CT29" s="173"/>
      <c r="CU29" s="173"/>
      <c r="CV29" s="173"/>
      <c r="CW29" s="173"/>
      <c r="CX29" s="508"/>
      <c r="CY29" s="173"/>
      <c r="CZ29" s="173"/>
      <c r="DA29" s="173"/>
      <c r="DB29" s="173"/>
      <c r="DC29" s="173"/>
      <c r="DD29" s="173"/>
      <c r="DE29" s="173"/>
    </row>
    <row r="30" spans="1:109" ht="16.5" thickBot="1">
      <c r="A30" s="517">
        <v>27</v>
      </c>
      <c r="B30" s="519">
        <v>120</v>
      </c>
      <c r="C30" s="519">
        <v>107</v>
      </c>
      <c r="D30" s="519">
        <v>93</v>
      </c>
      <c r="E30" s="519">
        <v>84</v>
      </c>
      <c r="G30" s="435">
        <v>26</v>
      </c>
      <c r="H30" s="468">
        <v>56</v>
      </c>
      <c r="I30" s="471">
        <v>20</v>
      </c>
      <c r="J30" s="308"/>
      <c r="K30" s="272">
        <f t="shared" si="21"/>
        <v>36</v>
      </c>
      <c r="L30" s="308"/>
      <c r="M30" s="10">
        <f t="shared" si="22"/>
        <v>1</v>
      </c>
      <c r="N30" s="10">
        <f t="shared" si="23"/>
        <v>36</v>
      </c>
      <c r="O30" s="308"/>
      <c r="P30" s="10">
        <f t="shared" si="24"/>
        <v>1</v>
      </c>
      <c r="Q30" s="10">
        <f>RANK(N30,N5:N39,1)</f>
        <v>26</v>
      </c>
      <c r="R30" s="308"/>
      <c r="S30" s="10">
        <f t="shared" si="25"/>
        <v>1</v>
      </c>
      <c r="T30" s="488">
        <f t="shared" si="26"/>
        <v>26</v>
      </c>
      <c r="U30" s="308"/>
      <c r="V30" s="10">
        <f t="shared" si="27"/>
        <v>26</v>
      </c>
      <c r="W30" s="308"/>
      <c r="X30" s="308"/>
      <c r="Y30" s="308"/>
      <c r="Z30" s="308"/>
      <c r="AA30" s="308"/>
      <c r="AB30" s="308"/>
      <c r="AC30" s="308"/>
      <c r="AD30" s="435">
        <v>26</v>
      </c>
      <c r="AE30" s="491">
        <f>SMALL(T5:T39,26)</f>
        <v>26</v>
      </c>
      <c r="AF30" s="465"/>
      <c r="AG30" s="308"/>
      <c r="AH30" s="308"/>
      <c r="AI30" s="308"/>
      <c r="AJ30" s="308"/>
      <c r="AK30" s="308"/>
      <c r="AL30" s="308"/>
      <c r="AM30" s="308"/>
      <c r="AN30" s="308"/>
      <c r="AO30" s="385"/>
      <c r="AQ30" s="435"/>
      <c r="AR30" s="308"/>
      <c r="AS30" s="308"/>
      <c r="AT30" s="308"/>
      <c r="AU30" s="10">
        <f>SMALL(AU5:AU19,9)</f>
        <v>-1</v>
      </c>
      <c r="AV30" s="308"/>
      <c r="AW30" s="308"/>
      <c r="AX30" s="308"/>
      <c r="AY30" s="308"/>
      <c r="AZ30" s="308"/>
      <c r="BA30" s="308"/>
      <c r="BB30" s="308"/>
      <c r="BC30" s="308">
        <v>9</v>
      </c>
      <c r="BD30" s="10">
        <f>SMALL(BD5:BD19,9)</f>
        <v>9</v>
      </c>
      <c r="BE30" s="308"/>
      <c r="BF30" s="308"/>
      <c r="BG30" s="308"/>
      <c r="BH30" s="308"/>
      <c r="BI30" s="308"/>
      <c r="BJ30" s="308"/>
      <c r="BK30" s="308"/>
      <c r="BL30" s="308"/>
      <c r="BM30" s="308"/>
      <c r="BN30" s="465"/>
      <c r="BO30" s="308"/>
      <c r="BP30" s="308"/>
      <c r="BQ30" s="308"/>
      <c r="BR30" s="308"/>
      <c r="BS30" s="308"/>
      <c r="BT30" s="308"/>
      <c r="BU30" s="308"/>
      <c r="BV30" s="308"/>
      <c r="BZ30" s="414"/>
      <c r="CA30" s="9"/>
      <c r="CB30" s="9"/>
      <c r="CC30" s="9"/>
      <c r="CD30" s="171">
        <f>SMALL(CD5:CD19,9)</f>
        <v>21</v>
      </c>
      <c r="CE30" s="9"/>
      <c r="CF30" s="9"/>
      <c r="CG30" s="9"/>
      <c r="CH30" s="9"/>
      <c r="CI30" s="9"/>
      <c r="CJ30" s="9"/>
      <c r="CK30" s="9"/>
      <c r="CL30" s="9">
        <v>9</v>
      </c>
      <c r="CM30" s="171">
        <f>SMALL(CM5:CM19,9)</f>
        <v>9</v>
      </c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</row>
    <row r="31" spans="1:109" ht="16.5" thickBot="1">
      <c r="A31" s="517">
        <v>28</v>
      </c>
      <c r="B31" s="519">
        <v>130</v>
      </c>
      <c r="C31" s="519">
        <v>11</v>
      </c>
      <c r="D31" s="519">
        <v>102</v>
      </c>
      <c r="E31" s="519">
        <v>92</v>
      </c>
      <c r="G31" s="435">
        <v>27</v>
      </c>
      <c r="H31" s="468">
        <v>57</v>
      </c>
      <c r="I31" s="471">
        <v>20</v>
      </c>
      <c r="J31" s="308"/>
      <c r="K31" s="272">
        <f t="shared" si="21"/>
        <v>37</v>
      </c>
      <c r="L31" s="308"/>
      <c r="M31" s="10">
        <f t="shared" si="22"/>
        <v>1</v>
      </c>
      <c r="N31" s="10">
        <f t="shared" si="23"/>
        <v>37</v>
      </c>
      <c r="O31" s="308"/>
      <c r="P31" s="10">
        <f t="shared" si="24"/>
        <v>1</v>
      </c>
      <c r="Q31" s="10">
        <f>RANK(N31,N5:N39,1)</f>
        <v>27</v>
      </c>
      <c r="R31" s="308"/>
      <c r="S31" s="10">
        <f t="shared" si="25"/>
        <v>1</v>
      </c>
      <c r="T31" s="488">
        <f t="shared" si="26"/>
        <v>27</v>
      </c>
      <c r="U31" s="308"/>
      <c r="V31" s="10">
        <f t="shared" si="27"/>
        <v>27</v>
      </c>
      <c r="W31" s="308"/>
      <c r="X31" s="183"/>
      <c r="Y31" s="183"/>
      <c r="Z31" s="183"/>
      <c r="AA31" s="183"/>
      <c r="AB31" s="183"/>
      <c r="AC31" s="183"/>
      <c r="AD31" s="435">
        <v>27</v>
      </c>
      <c r="AE31" s="491">
        <f>SMALL(T5:T39,27)</f>
        <v>27</v>
      </c>
      <c r="AF31" s="465"/>
      <c r="AG31" s="183"/>
      <c r="AH31" s="183"/>
      <c r="AI31" s="183"/>
      <c r="AJ31" s="183"/>
      <c r="AK31" s="183"/>
      <c r="AL31" s="183"/>
      <c r="AM31" s="183"/>
      <c r="AN31" s="183"/>
      <c r="AO31" s="477"/>
      <c r="AQ31" s="435"/>
      <c r="AR31" s="308"/>
      <c r="AS31" s="308"/>
      <c r="AT31" s="308"/>
      <c r="AU31" s="10">
        <f>SMALL(AU5:AU19,10)</f>
        <v>0</v>
      </c>
      <c r="AV31" s="308"/>
      <c r="AW31" s="308"/>
      <c r="AX31" s="308"/>
      <c r="AY31" s="308"/>
      <c r="AZ31" s="308"/>
      <c r="BA31" s="308"/>
      <c r="BB31" s="308"/>
      <c r="BC31" s="308">
        <v>10</v>
      </c>
      <c r="BD31" s="10">
        <f>SMALL(BD5:BD19,10)</f>
        <v>9</v>
      </c>
      <c r="BE31" s="308"/>
      <c r="BF31" s="308"/>
      <c r="BG31" s="308"/>
      <c r="BH31" s="183"/>
      <c r="BI31" s="183"/>
      <c r="BJ31" s="183"/>
      <c r="BK31" s="183"/>
      <c r="BL31" s="183"/>
      <c r="BM31" s="183"/>
      <c r="BN31" s="465"/>
      <c r="BO31" s="183"/>
      <c r="BP31" s="183"/>
      <c r="BQ31" s="183"/>
      <c r="BR31" s="183"/>
      <c r="BS31" s="183"/>
      <c r="BT31" s="183"/>
      <c r="BU31" s="183"/>
      <c r="BV31" s="183"/>
      <c r="BZ31" s="414"/>
      <c r="CA31" s="9"/>
      <c r="CB31" s="9"/>
      <c r="CC31" s="9"/>
      <c r="CD31" s="171"/>
      <c r="CE31" s="9"/>
      <c r="CF31" s="9"/>
      <c r="CG31" s="9"/>
      <c r="CH31" s="9"/>
      <c r="CI31" s="9"/>
      <c r="CJ31" s="9"/>
      <c r="CK31" s="9"/>
      <c r="CL31" s="9">
        <v>10</v>
      </c>
      <c r="CM31" s="171"/>
      <c r="CN31" s="9"/>
      <c r="CO31" s="9"/>
      <c r="CP31" s="9"/>
      <c r="CQ31" s="498"/>
      <c r="CR31" s="498"/>
      <c r="CS31" s="498"/>
      <c r="CT31" s="498"/>
      <c r="CU31" s="498"/>
      <c r="CV31" s="498"/>
      <c r="CW31" s="498"/>
      <c r="CX31" s="498"/>
      <c r="CY31" s="498"/>
      <c r="CZ31" s="498"/>
      <c r="DA31" s="498"/>
      <c r="DB31" s="498"/>
      <c r="DC31" s="498"/>
      <c r="DD31" s="498"/>
      <c r="DE31" s="498"/>
    </row>
    <row r="32" spans="1:109" ht="16.5" thickBot="1">
      <c r="A32" s="517">
        <v>29</v>
      </c>
      <c r="B32" s="519">
        <v>141</v>
      </c>
      <c r="C32" s="519">
        <v>127</v>
      </c>
      <c r="D32" s="519">
        <v>111</v>
      </c>
      <c r="E32" s="519">
        <v>100</v>
      </c>
      <c r="G32" s="435">
        <v>28</v>
      </c>
      <c r="H32" s="468">
        <v>58</v>
      </c>
      <c r="I32" s="471">
        <v>20</v>
      </c>
      <c r="J32" s="308"/>
      <c r="K32" s="272">
        <f t="shared" si="21"/>
        <v>38</v>
      </c>
      <c r="L32" s="308"/>
      <c r="M32" s="10">
        <f t="shared" si="22"/>
        <v>1</v>
      </c>
      <c r="N32" s="10">
        <f t="shared" si="23"/>
        <v>38</v>
      </c>
      <c r="O32" s="308"/>
      <c r="P32" s="10">
        <f t="shared" si="24"/>
        <v>1</v>
      </c>
      <c r="Q32" s="10">
        <f>RANK(N32,N5:N39,1)</f>
        <v>28</v>
      </c>
      <c r="R32" s="308"/>
      <c r="S32" s="10">
        <f t="shared" si="25"/>
        <v>1</v>
      </c>
      <c r="T32" s="488">
        <f t="shared" si="26"/>
        <v>28</v>
      </c>
      <c r="U32" s="308"/>
      <c r="V32" s="10">
        <f t="shared" si="27"/>
        <v>28</v>
      </c>
      <c r="W32" s="308"/>
      <c r="X32" s="183"/>
      <c r="Y32" s="183"/>
      <c r="Z32" s="183"/>
      <c r="AA32" s="183"/>
      <c r="AB32" s="183"/>
      <c r="AC32" s="183"/>
      <c r="AD32" s="435">
        <v>28</v>
      </c>
      <c r="AE32" s="491">
        <f>SMALL(T5:T39,28)</f>
        <v>28</v>
      </c>
      <c r="AF32" s="465"/>
      <c r="AG32" s="183"/>
      <c r="AH32" s="183"/>
      <c r="AI32" s="183"/>
      <c r="AJ32" s="183"/>
      <c r="AK32" s="183"/>
      <c r="AL32" s="183"/>
      <c r="AM32" s="183"/>
      <c r="AN32" s="183"/>
      <c r="AO32" s="477"/>
      <c r="AQ32" s="435"/>
      <c r="AR32" s="308"/>
      <c r="AS32" s="308"/>
      <c r="AT32" s="308"/>
      <c r="AU32" s="10">
        <f>SMALL(AU5:AU19,11)</f>
        <v>0</v>
      </c>
      <c r="AV32" s="308"/>
      <c r="AW32" s="308"/>
      <c r="AX32" s="308"/>
      <c r="AY32" s="308"/>
      <c r="AZ32" s="308"/>
      <c r="BA32" s="308"/>
      <c r="BB32" s="308"/>
      <c r="BC32" s="308">
        <v>11</v>
      </c>
      <c r="BD32" s="10">
        <f>SMALL(BD5:BD19,11)</f>
        <v>11</v>
      </c>
      <c r="BE32" s="308"/>
      <c r="BF32" s="308"/>
      <c r="BG32" s="308"/>
      <c r="BH32" s="183"/>
      <c r="BI32" s="183"/>
      <c r="BJ32" s="183"/>
      <c r="BK32" s="183"/>
      <c r="BL32" s="183"/>
      <c r="BM32" s="183"/>
      <c r="BN32" s="465"/>
      <c r="BO32" s="183"/>
      <c r="BP32" s="183"/>
      <c r="BQ32" s="183"/>
      <c r="BR32" s="183"/>
      <c r="BS32" s="183"/>
      <c r="BT32" s="183"/>
      <c r="BU32" s="183"/>
      <c r="BV32" s="183"/>
      <c r="BZ32" s="414"/>
      <c r="CA32" s="9"/>
      <c r="CB32" s="9"/>
      <c r="CC32" s="9"/>
      <c r="CD32" s="171"/>
      <c r="CE32" s="9"/>
      <c r="CF32" s="9"/>
      <c r="CG32" s="9"/>
      <c r="CH32" s="9"/>
      <c r="CI32" s="9"/>
      <c r="CJ32" s="9"/>
      <c r="CK32" s="9"/>
      <c r="CL32" s="9">
        <v>11</v>
      </c>
      <c r="CM32" s="171"/>
      <c r="CN32" s="9"/>
      <c r="CO32" s="9"/>
      <c r="CP32" s="9"/>
      <c r="CQ32" s="498"/>
      <c r="CR32" s="498"/>
      <c r="CS32" s="498"/>
      <c r="CT32" s="498"/>
      <c r="CU32" s="498"/>
      <c r="CV32" s="498"/>
      <c r="CW32" s="498"/>
      <c r="CX32" s="498"/>
      <c r="CY32" s="498"/>
      <c r="CZ32" s="498"/>
      <c r="DA32" s="498"/>
      <c r="DB32" s="498"/>
      <c r="DC32" s="498"/>
      <c r="DD32" s="498"/>
      <c r="DE32" s="498"/>
    </row>
    <row r="33" spans="1:109" ht="16.5" thickBot="1">
      <c r="A33" s="518">
        <v>30</v>
      </c>
      <c r="B33" s="519">
        <v>151</v>
      </c>
      <c r="C33" s="519">
        <v>137</v>
      </c>
      <c r="D33" s="519">
        <v>120</v>
      </c>
      <c r="E33" s="519">
        <v>109</v>
      </c>
      <c r="G33" s="435">
        <v>29</v>
      </c>
      <c r="H33" s="468">
        <v>59</v>
      </c>
      <c r="I33" s="471">
        <v>20</v>
      </c>
      <c r="J33" s="308"/>
      <c r="K33" s="272">
        <f t="shared" si="21"/>
        <v>39</v>
      </c>
      <c r="L33" s="308"/>
      <c r="M33" s="10">
        <f t="shared" si="22"/>
        <v>1</v>
      </c>
      <c r="N33" s="10">
        <f t="shared" si="23"/>
        <v>39</v>
      </c>
      <c r="O33" s="308"/>
      <c r="P33" s="10">
        <f t="shared" si="24"/>
        <v>1</v>
      </c>
      <c r="Q33" s="10">
        <f>RANK(N33,N5:N39,1)</f>
        <v>29</v>
      </c>
      <c r="R33" s="308"/>
      <c r="S33" s="10">
        <f t="shared" si="25"/>
        <v>1</v>
      </c>
      <c r="T33" s="488">
        <f t="shared" si="26"/>
        <v>29</v>
      </c>
      <c r="U33" s="308"/>
      <c r="V33" s="10">
        <f t="shared" si="27"/>
        <v>29</v>
      </c>
      <c r="W33" s="308"/>
      <c r="X33" s="183"/>
      <c r="Y33" s="183"/>
      <c r="Z33" s="183"/>
      <c r="AA33" s="183"/>
      <c r="AB33" s="183"/>
      <c r="AC33" s="183"/>
      <c r="AD33" s="435">
        <v>29</v>
      </c>
      <c r="AE33" s="491">
        <f>SMALL(T5:T39,29)</f>
        <v>29</v>
      </c>
      <c r="AF33" s="465"/>
      <c r="AG33" s="183"/>
      <c r="AH33" s="183"/>
      <c r="AI33" s="183"/>
      <c r="AJ33" s="183"/>
      <c r="AK33" s="183"/>
      <c r="AL33" s="183"/>
      <c r="AM33" s="183"/>
      <c r="AN33" s="183"/>
      <c r="AO33" s="477"/>
      <c r="AQ33" s="435"/>
      <c r="AR33" s="308"/>
      <c r="AS33" s="308"/>
      <c r="AT33" s="308"/>
      <c r="AU33" s="10">
        <f>SMALL(AU5:AU19,12)</f>
        <v>1</v>
      </c>
      <c r="AV33" s="308"/>
      <c r="AW33" s="308"/>
      <c r="AX33" s="308"/>
      <c r="AY33" s="308"/>
      <c r="AZ33" s="308"/>
      <c r="BA33" s="308"/>
      <c r="BB33" s="308"/>
      <c r="BC33" s="308">
        <v>12</v>
      </c>
      <c r="BD33" s="10">
        <f>SMALL(BD5:BD19,12)</f>
        <v>11</v>
      </c>
      <c r="BE33" s="308"/>
      <c r="BF33" s="308"/>
      <c r="BG33" s="308"/>
      <c r="BH33" s="183"/>
      <c r="BI33" s="183"/>
      <c r="BJ33" s="183"/>
      <c r="BK33" s="183"/>
      <c r="BL33" s="183"/>
      <c r="BM33" s="183"/>
      <c r="BN33" s="465"/>
      <c r="BO33" s="183"/>
      <c r="BP33" s="183"/>
      <c r="BQ33" s="183"/>
      <c r="BR33" s="183"/>
      <c r="BS33" s="183"/>
      <c r="BT33" s="183"/>
      <c r="BU33" s="183"/>
      <c r="BV33" s="183"/>
      <c r="BZ33" s="414"/>
      <c r="CA33" s="9"/>
      <c r="CB33" s="9"/>
      <c r="CC33" s="9"/>
      <c r="CD33" s="171"/>
      <c r="CE33" s="9"/>
      <c r="CF33" s="9"/>
      <c r="CG33" s="9"/>
      <c r="CH33" s="9"/>
      <c r="CI33" s="9"/>
      <c r="CJ33" s="9"/>
      <c r="CK33" s="9"/>
      <c r="CL33" s="9">
        <v>12</v>
      </c>
      <c r="CM33" s="171"/>
      <c r="CN33" s="9"/>
      <c r="CO33" s="9"/>
      <c r="CP33" s="9"/>
      <c r="CQ33" s="498"/>
      <c r="CR33" s="498"/>
      <c r="CS33" s="498"/>
      <c r="CT33" s="498"/>
      <c r="CU33" s="498"/>
      <c r="CV33" s="498"/>
      <c r="CW33" s="498"/>
      <c r="CX33" s="498"/>
      <c r="CY33" s="498"/>
      <c r="CZ33" s="498"/>
      <c r="DA33" s="498"/>
      <c r="DB33" s="498"/>
      <c r="DC33" s="498"/>
      <c r="DD33" s="498"/>
      <c r="DE33" s="498"/>
    </row>
    <row r="34" spans="7:109" ht="16.5" thickBot="1">
      <c r="G34" s="435">
        <v>30</v>
      </c>
      <c r="H34" s="468">
        <v>60</v>
      </c>
      <c r="I34" s="471">
        <v>20</v>
      </c>
      <c r="J34" s="308"/>
      <c r="K34" s="272">
        <f t="shared" si="21"/>
        <v>40</v>
      </c>
      <c r="L34" s="308"/>
      <c r="M34" s="10">
        <f t="shared" si="22"/>
        <v>1</v>
      </c>
      <c r="N34" s="10">
        <f t="shared" si="23"/>
        <v>40</v>
      </c>
      <c r="O34" s="308"/>
      <c r="P34" s="10">
        <f t="shared" si="24"/>
        <v>1</v>
      </c>
      <c r="Q34" s="10">
        <f>RANK(N34,N5:N39,1)</f>
        <v>30</v>
      </c>
      <c r="R34" s="308"/>
      <c r="S34" s="10">
        <f t="shared" si="25"/>
        <v>1</v>
      </c>
      <c r="T34" s="488">
        <f t="shared" si="26"/>
        <v>30</v>
      </c>
      <c r="U34" s="308"/>
      <c r="V34" s="10">
        <f t="shared" si="27"/>
        <v>30</v>
      </c>
      <c r="W34" s="308"/>
      <c r="X34" s="183"/>
      <c r="Y34" s="183"/>
      <c r="Z34" s="183"/>
      <c r="AA34" s="183"/>
      <c r="AB34" s="183"/>
      <c r="AC34" s="183"/>
      <c r="AD34" s="435">
        <v>30</v>
      </c>
      <c r="AE34" s="491">
        <f>SMALL(T5:T39,30)</f>
        <v>30</v>
      </c>
      <c r="AF34" s="465"/>
      <c r="AG34" s="183"/>
      <c r="AH34" s="183"/>
      <c r="AI34" s="183"/>
      <c r="AJ34" s="183"/>
      <c r="AK34" s="183"/>
      <c r="AL34" s="183"/>
      <c r="AM34" s="183"/>
      <c r="AN34" s="183"/>
      <c r="AO34" s="477"/>
      <c r="AQ34" s="435"/>
      <c r="AR34" s="308"/>
      <c r="AS34" s="308"/>
      <c r="AT34" s="308"/>
      <c r="AU34" s="10">
        <f>SMALL(AU5:AU19,13)</f>
        <v>3</v>
      </c>
      <c r="AV34" s="308"/>
      <c r="AW34" s="308"/>
      <c r="AX34" s="308"/>
      <c r="AY34" s="308"/>
      <c r="AZ34" s="308"/>
      <c r="BA34" s="308"/>
      <c r="BB34" s="308"/>
      <c r="BC34" s="308">
        <v>13</v>
      </c>
      <c r="BD34" s="10">
        <f>SMALL(BD5:BD19,13)</f>
        <v>13</v>
      </c>
      <c r="BE34" s="308"/>
      <c r="BF34" s="308"/>
      <c r="BG34" s="308"/>
      <c r="BH34" s="183"/>
      <c r="BI34" s="183"/>
      <c r="BJ34" s="183"/>
      <c r="BK34" s="183"/>
      <c r="BL34" s="183"/>
      <c r="BM34" s="183"/>
      <c r="BN34" s="465"/>
      <c r="BO34" s="183"/>
      <c r="BP34" s="183"/>
      <c r="BQ34" s="183"/>
      <c r="BR34" s="183"/>
      <c r="BS34" s="183"/>
      <c r="BT34" s="183"/>
      <c r="BU34" s="183"/>
      <c r="BV34" s="183"/>
      <c r="BZ34" s="414"/>
      <c r="CA34" s="9"/>
      <c r="CB34" s="9"/>
      <c r="CC34" s="9"/>
      <c r="CD34" s="171"/>
      <c r="CE34" s="9"/>
      <c r="CF34" s="9"/>
      <c r="CG34" s="9"/>
      <c r="CH34" s="9"/>
      <c r="CI34" s="9"/>
      <c r="CJ34" s="9"/>
      <c r="CK34" s="9"/>
      <c r="CL34" s="9">
        <v>13</v>
      </c>
      <c r="CM34" s="171"/>
      <c r="CN34" s="9"/>
      <c r="CO34" s="9"/>
      <c r="CP34" s="9"/>
      <c r="CQ34" s="498"/>
      <c r="CR34" s="498"/>
      <c r="CS34" s="498"/>
      <c r="CT34" s="498"/>
      <c r="CU34" s="498"/>
      <c r="CV34" s="498"/>
      <c r="CW34" s="498"/>
      <c r="CX34" s="498"/>
      <c r="CY34" s="498"/>
      <c r="CZ34" s="498"/>
      <c r="DA34" s="498"/>
      <c r="DB34" s="498"/>
      <c r="DC34" s="498"/>
      <c r="DD34" s="498"/>
      <c r="DE34" s="498"/>
    </row>
    <row r="35" spans="7:109" ht="15.75" thickBot="1">
      <c r="G35" s="435">
        <v>31</v>
      </c>
      <c r="H35" s="468">
        <v>61</v>
      </c>
      <c r="I35" s="471">
        <v>20</v>
      </c>
      <c r="J35" s="308"/>
      <c r="K35" s="272">
        <f t="shared" si="21"/>
        <v>41</v>
      </c>
      <c r="L35" s="308"/>
      <c r="M35" s="10">
        <f t="shared" si="22"/>
        <v>1</v>
      </c>
      <c r="N35" s="10">
        <f t="shared" si="23"/>
        <v>41</v>
      </c>
      <c r="O35" s="308"/>
      <c r="P35" s="10">
        <f t="shared" si="24"/>
        <v>1</v>
      </c>
      <c r="Q35" s="10">
        <f>RANK(N35,N5:N39,1)</f>
        <v>31</v>
      </c>
      <c r="R35" s="308"/>
      <c r="S35" s="10">
        <f t="shared" si="25"/>
        <v>1</v>
      </c>
      <c r="T35" s="488">
        <f t="shared" si="26"/>
        <v>31</v>
      </c>
      <c r="U35" s="308"/>
      <c r="V35" s="10">
        <f t="shared" si="27"/>
        <v>31</v>
      </c>
      <c r="W35" s="101"/>
      <c r="X35" s="101"/>
      <c r="Y35" s="101"/>
      <c r="Z35" s="101"/>
      <c r="AA35" s="101"/>
      <c r="AB35" s="101"/>
      <c r="AC35" s="101"/>
      <c r="AD35" s="435">
        <v>31</v>
      </c>
      <c r="AE35" s="491">
        <f>SMALL(T5:T39,31)</f>
        <v>31</v>
      </c>
      <c r="AF35" s="465"/>
      <c r="AG35" s="308"/>
      <c r="AH35" s="308"/>
      <c r="AI35" s="308"/>
      <c r="AJ35" s="308"/>
      <c r="AK35" s="308"/>
      <c r="AL35" s="308"/>
      <c r="AM35" s="308"/>
      <c r="AN35" s="308"/>
      <c r="AO35" s="385"/>
      <c r="AQ35" s="435"/>
      <c r="AR35" s="308"/>
      <c r="AS35" s="308"/>
      <c r="AT35" s="308"/>
      <c r="AU35" s="10">
        <f>SMALL(AU5:AU19,14)</f>
        <v>7</v>
      </c>
      <c r="AV35" s="308"/>
      <c r="AW35" s="308"/>
      <c r="AX35" s="308"/>
      <c r="AY35" s="308"/>
      <c r="AZ35" s="308"/>
      <c r="BA35" s="308"/>
      <c r="BB35" s="308"/>
      <c r="BC35" s="308">
        <v>14</v>
      </c>
      <c r="BD35" s="10">
        <f>SMALL(BD5:BD19,14)</f>
        <v>14</v>
      </c>
      <c r="BE35" s="308"/>
      <c r="BF35" s="308"/>
      <c r="BG35" s="308"/>
      <c r="BH35" s="308" t="s">
        <v>425</v>
      </c>
      <c r="BI35" s="308"/>
      <c r="BJ35" s="308" t="s">
        <v>426</v>
      </c>
      <c r="BK35" s="308"/>
      <c r="BL35" s="308"/>
      <c r="BM35" s="308"/>
      <c r="BN35" s="465"/>
      <c r="BO35" s="308"/>
      <c r="BP35" s="308"/>
      <c r="BQ35" s="308"/>
      <c r="BR35" s="308"/>
      <c r="BS35" s="308"/>
      <c r="BT35" s="308"/>
      <c r="BU35" s="308"/>
      <c r="BV35" s="308"/>
      <c r="BZ35" s="414"/>
      <c r="CA35" s="9"/>
      <c r="CB35" s="9"/>
      <c r="CC35" s="9"/>
      <c r="CD35" s="171"/>
      <c r="CE35" s="9"/>
      <c r="CF35" s="9"/>
      <c r="CG35" s="9"/>
      <c r="CH35" s="9"/>
      <c r="CI35" s="9"/>
      <c r="CJ35" s="9"/>
      <c r="CK35" s="9"/>
      <c r="CL35" s="9">
        <v>14</v>
      </c>
      <c r="CM35" s="171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</row>
    <row r="36" spans="7:109" ht="16.5" thickBot="1">
      <c r="G36" s="435">
        <v>32</v>
      </c>
      <c r="H36" s="468">
        <v>62</v>
      </c>
      <c r="I36" s="471">
        <v>20</v>
      </c>
      <c r="J36" s="308"/>
      <c r="K36" s="272">
        <f t="shared" si="21"/>
        <v>42</v>
      </c>
      <c r="L36" s="308"/>
      <c r="M36" s="10">
        <f t="shared" si="22"/>
        <v>1</v>
      </c>
      <c r="N36" s="10">
        <f t="shared" si="23"/>
        <v>42</v>
      </c>
      <c r="O36" s="308"/>
      <c r="P36" s="10">
        <f t="shared" si="24"/>
        <v>1</v>
      </c>
      <c r="Q36" s="10">
        <f>RANK(N36,N5:N39,1)</f>
        <v>32</v>
      </c>
      <c r="R36" s="308"/>
      <c r="S36" s="10">
        <f t="shared" si="25"/>
        <v>1</v>
      </c>
      <c r="T36" s="488">
        <f t="shared" si="26"/>
        <v>32</v>
      </c>
      <c r="U36" s="308"/>
      <c r="V36" s="10">
        <f t="shared" si="27"/>
        <v>32</v>
      </c>
      <c r="AB36" s="183"/>
      <c r="AC36" s="183"/>
      <c r="AD36" s="435">
        <v>32</v>
      </c>
      <c r="AE36" s="491">
        <f>SMALL(T5:T39,32)</f>
        <v>32</v>
      </c>
      <c r="AF36" s="465"/>
      <c r="AG36" s="183"/>
      <c r="AH36" s="183"/>
      <c r="AI36" s="183"/>
      <c r="AJ36" s="183"/>
      <c r="AK36" s="183"/>
      <c r="AL36" s="183"/>
      <c r="AM36" s="183"/>
      <c r="AN36" s="183"/>
      <c r="AO36" s="477"/>
      <c r="AQ36" s="435"/>
      <c r="AR36" s="308"/>
      <c r="AS36" s="308"/>
      <c r="AT36" s="308"/>
      <c r="AU36" s="10">
        <f>SMALL(AU5:AU19,15)</f>
        <v>9</v>
      </c>
      <c r="AV36" s="308"/>
      <c r="AW36" s="308"/>
      <c r="AX36" s="308"/>
      <c r="AY36" s="308"/>
      <c r="AZ36" s="308"/>
      <c r="BA36" s="308"/>
      <c r="BB36" s="308"/>
      <c r="BC36" s="308">
        <v>15</v>
      </c>
      <c r="BD36" s="10">
        <f>SMALL(BD5:BD19,15)</f>
        <v>15</v>
      </c>
      <c r="BE36" s="308"/>
      <c r="BF36" s="144"/>
      <c r="BG36" s="308"/>
      <c r="BH36" s="483">
        <f>BM13*(BM13+1)/2</f>
        <v>91</v>
      </c>
      <c r="BI36" s="183"/>
      <c r="BJ36" s="483">
        <f>BM8+BM9</f>
        <v>113</v>
      </c>
      <c r="BK36" s="183"/>
      <c r="BL36" s="183"/>
      <c r="BM36" s="183"/>
      <c r="BN36" s="465"/>
      <c r="BO36" s="183"/>
      <c r="BP36" s="183"/>
      <c r="BQ36" s="183"/>
      <c r="BR36" s="183"/>
      <c r="BS36" s="183"/>
      <c r="BT36" s="183"/>
      <c r="BU36" s="183"/>
      <c r="BV36" s="183"/>
      <c r="BZ36" s="414"/>
      <c r="CA36" s="9"/>
      <c r="CB36" s="9"/>
      <c r="CC36" s="9"/>
      <c r="CD36" s="171"/>
      <c r="CE36" s="9"/>
      <c r="CF36" s="9"/>
      <c r="CG36" s="9"/>
      <c r="CH36" s="9"/>
      <c r="CI36" s="9"/>
      <c r="CJ36" s="9"/>
      <c r="CK36" s="9"/>
      <c r="CL36" s="9">
        <v>15</v>
      </c>
      <c r="CM36" s="171"/>
      <c r="CN36" s="9"/>
      <c r="CO36" s="449"/>
      <c r="CP36" s="9"/>
      <c r="CQ36" s="498"/>
      <c r="CR36" s="498"/>
      <c r="CS36" s="498"/>
      <c r="CT36" s="498"/>
      <c r="CU36" s="498"/>
      <c r="CV36" s="498"/>
      <c r="CW36" s="498"/>
      <c r="CX36" s="498"/>
      <c r="CY36" s="498"/>
      <c r="CZ36" s="498"/>
      <c r="DA36" s="498"/>
      <c r="DB36" s="498"/>
      <c r="DC36" s="498"/>
      <c r="DD36" s="498"/>
      <c r="DE36" s="498"/>
    </row>
    <row r="37" spans="7:109" ht="16.5" thickBot="1">
      <c r="G37" s="435">
        <v>33</v>
      </c>
      <c r="H37" s="468">
        <v>63</v>
      </c>
      <c r="I37" s="471">
        <v>20</v>
      </c>
      <c r="K37" s="272">
        <f t="shared" si="21"/>
        <v>43</v>
      </c>
      <c r="L37" s="308"/>
      <c r="M37" s="10">
        <f t="shared" si="22"/>
        <v>1</v>
      </c>
      <c r="N37" s="10">
        <f t="shared" si="23"/>
        <v>43</v>
      </c>
      <c r="O37" s="308"/>
      <c r="P37" s="10">
        <f t="shared" si="24"/>
        <v>1</v>
      </c>
      <c r="Q37" s="10">
        <f>RANK(N37,N5:N39,1)</f>
        <v>33</v>
      </c>
      <c r="R37" s="308"/>
      <c r="S37" s="10">
        <f t="shared" si="25"/>
        <v>1</v>
      </c>
      <c r="T37" s="488">
        <f t="shared" si="26"/>
        <v>33</v>
      </c>
      <c r="U37" s="308"/>
      <c r="V37" s="10">
        <f t="shared" si="27"/>
        <v>33</v>
      </c>
      <c r="W37" s="308"/>
      <c r="X37" s="183"/>
      <c r="Y37" s="183"/>
      <c r="Z37" s="183"/>
      <c r="AA37" s="183"/>
      <c r="AB37" s="183"/>
      <c r="AC37" s="183"/>
      <c r="AD37" s="435">
        <v>33</v>
      </c>
      <c r="AE37" s="491">
        <f>SMALL(T5:T39,33)</f>
        <v>33</v>
      </c>
      <c r="AF37" s="465"/>
      <c r="AG37" s="183"/>
      <c r="AH37" s="183"/>
      <c r="AI37" s="183"/>
      <c r="AJ37" s="183"/>
      <c r="AK37" s="183"/>
      <c r="AL37" s="183"/>
      <c r="AM37" s="183"/>
      <c r="AN37" s="183"/>
      <c r="AO37" s="477"/>
      <c r="AQ37" s="435"/>
      <c r="AR37" s="308"/>
      <c r="AS37" s="308"/>
      <c r="AT37" s="3"/>
      <c r="AU37" s="144" t="s">
        <v>430</v>
      </c>
      <c r="AV37" s="308"/>
      <c r="AW37" s="308"/>
      <c r="AX37" s="308"/>
      <c r="AY37" s="308"/>
      <c r="AZ37" s="308"/>
      <c r="BA37" s="308"/>
      <c r="BB37" s="308"/>
      <c r="BC37" s="308"/>
      <c r="BD37" s="144" t="s">
        <v>430</v>
      </c>
      <c r="BE37" s="308"/>
      <c r="BF37" s="308"/>
      <c r="BG37" s="308"/>
      <c r="BH37" s="183"/>
      <c r="BI37" s="183"/>
      <c r="BJ37" s="183"/>
      <c r="BK37" s="183"/>
      <c r="BL37" s="183"/>
      <c r="BM37" s="183"/>
      <c r="BN37" s="465"/>
      <c r="BO37" s="183"/>
      <c r="BP37" s="183"/>
      <c r="BQ37" s="183"/>
      <c r="BR37" s="183"/>
      <c r="BS37" s="183"/>
      <c r="BT37" s="183"/>
      <c r="BU37" s="183"/>
      <c r="BV37" s="183"/>
      <c r="BZ37" s="414"/>
      <c r="CA37" s="9"/>
      <c r="CB37" s="9"/>
      <c r="CD37" s="449" t="s">
        <v>430</v>
      </c>
      <c r="CE37" s="9"/>
      <c r="CF37" s="9"/>
      <c r="CG37" s="9"/>
      <c r="CH37" s="9"/>
      <c r="CI37" s="9"/>
      <c r="CJ37" s="9"/>
      <c r="CK37" s="9"/>
      <c r="CL37" s="9"/>
      <c r="CM37" s="449" t="s">
        <v>430</v>
      </c>
      <c r="CN37" s="9"/>
      <c r="CO37" s="9"/>
      <c r="CP37" s="9"/>
      <c r="CQ37" s="498"/>
      <c r="CR37" s="498"/>
      <c r="CS37" s="498"/>
      <c r="CT37" s="498"/>
      <c r="CU37" s="498"/>
      <c r="CV37" s="498"/>
      <c r="CW37" s="498"/>
      <c r="CX37" s="498"/>
      <c r="CY37" s="498"/>
      <c r="CZ37" s="498"/>
      <c r="DA37" s="498"/>
      <c r="DB37" s="498"/>
      <c r="DC37" s="498"/>
      <c r="DD37" s="498"/>
      <c r="DE37" s="498"/>
    </row>
    <row r="38" spans="7:109" ht="15.75" thickBot="1">
      <c r="G38" s="435">
        <v>34</v>
      </c>
      <c r="H38" s="468">
        <v>64</v>
      </c>
      <c r="I38" s="471">
        <v>20</v>
      </c>
      <c r="J38" s="308"/>
      <c r="K38" s="272">
        <f t="shared" si="21"/>
        <v>44</v>
      </c>
      <c r="L38" s="308"/>
      <c r="M38" s="10">
        <f t="shared" si="22"/>
        <v>1</v>
      </c>
      <c r="N38" s="10">
        <f t="shared" si="23"/>
        <v>44</v>
      </c>
      <c r="O38" s="308"/>
      <c r="P38" s="10">
        <f t="shared" si="24"/>
        <v>1</v>
      </c>
      <c r="Q38" s="10">
        <f>RANK(N38,N5:N39,1)</f>
        <v>34</v>
      </c>
      <c r="R38" s="308"/>
      <c r="S38" s="10">
        <f t="shared" si="25"/>
        <v>1</v>
      </c>
      <c r="T38" s="488">
        <f t="shared" si="26"/>
        <v>34</v>
      </c>
      <c r="U38" s="308"/>
      <c r="V38" s="10">
        <f t="shared" si="27"/>
        <v>34</v>
      </c>
      <c r="W38" s="308"/>
      <c r="X38" s="308" t="s">
        <v>425</v>
      </c>
      <c r="Y38" s="308"/>
      <c r="Z38" s="308" t="s">
        <v>426</v>
      </c>
      <c r="AA38" s="308"/>
      <c r="AB38" s="308"/>
      <c r="AC38" s="308"/>
      <c r="AD38" s="435">
        <v>34</v>
      </c>
      <c r="AE38" s="491">
        <f>SMALL(T5:T39,34)</f>
        <v>34</v>
      </c>
      <c r="AF38" s="465"/>
      <c r="AG38" s="308"/>
      <c r="AH38" s="308"/>
      <c r="AI38" s="308"/>
      <c r="AJ38" s="308"/>
      <c r="AK38" s="308"/>
      <c r="AL38" s="308"/>
      <c r="AM38" s="308"/>
      <c r="AN38" s="308"/>
      <c r="AO38" s="385"/>
      <c r="AQ38" s="435"/>
      <c r="AR38" s="308"/>
      <c r="AS38" s="308"/>
      <c r="AT38" s="308"/>
      <c r="AU38" s="308"/>
      <c r="AV38" s="308"/>
      <c r="AW38" s="308"/>
      <c r="AX38" s="308"/>
      <c r="AY38" s="308"/>
      <c r="AZ38" s="308"/>
      <c r="BA38" s="308"/>
      <c r="BB38" s="308"/>
      <c r="BC38" s="308"/>
      <c r="BD38" s="308"/>
      <c r="BE38" s="308"/>
      <c r="BF38" s="308"/>
      <c r="BG38" s="308"/>
      <c r="BH38" s="308"/>
      <c r="BI38" s="308"/>
      <c r="BJ38" s="308"/>
      <c r="BK38" s="308"/>
      <c r="BL38" s="308"/>
      <c r="BM38" s="308"/>
      <c r="BN38" s="308"/>
      <c r="BO38" s="308"/>
      <c r="BP38" s="308"/>
      <c r="BQ38" s="308"/>
      <c r="BR38" s="308"/>
      <c r="BS38" s="308"/>
      <c r="BT38" s="308"/>
      <c r="BU38" s="308"/>
      <c r="BV38" s="308"/>
      <c r="BZ38" s="414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</row>
    <row r="39" spans="7:109" ht="16.5" thickBot="1">
      <c r="G39" s="435">
        <v>35</v>
      </c>
      <c r="H39" s="468">
        <v>65</v>
      </c>
      <c r="I39" s="471">
        <v>20</v>
      </c>
      <c r="J39" s="308"/>
      <c r="K39" s="272">
        <f t="shared" si="21"/>
        <v>45</v>
      </c>
      <c r="L39" s="308"/>
      <c r="M39" s="10">
        <f t="shared" si="22"/>
        <v>1</v>
      </c>
      <c r="N39" s="10">
        <f t="shared" si="23"/>
        <v>45</v>
      </c>
      <c r="O39" s="308"/>
      <c r="P39" s="10">
        <f t="shared" si="24"/>
        <v>1</v>
      </c>
      <c r="Q39" s="10">
        <f>RANK(N39,N5:N39,1)</f>
        <v>35</v>
      </c>
      <c r="R39" s="308"/>
      <c r="S39" s="10">
        <f t="shared" si="25"/>
        <v>1</v>
      </c>
      <c r="T39" s="488">
        <f t="shared" si="26"/>
        <v>35</v>
      </c>
      <c r="U39" s="308"/>
      <c r="V39" s="10">
        <f t="shared" si="27"/>
        <v>35</v>
      </c>
      <c r="W39" s="308"/>
      <c r="X39" s="483">
        <f>AC12*(AC12+1)/2</f>
        <v>630</v>
      </c>
      <c r="Y39" s="183"/>
      <c r="Z39" s="483">
        <f>AC7+AC8</f>
        <v>630</v>
      </c>
      <c r="AA39" s="183"/>
      <c r="AB39" s="308"/>
      <c r="AC39" s="308"/>
      <c r="AD39" s="435">
        <v>35</v>
      </c>
      <c r="AE39" s="491">
        <f>SMALL(T5:T39,35)</f>
        <v>35</v>
      </c>
      <c r="AF39" s="465"/>
      <c r="AG39" s="308"/>
      <c r="AH39" s="308"/>
      <c r="AI39" s="308"/>
      <c r="AJ39" s="308"/>
      <c r="AK39" s="308"/>
      <c r="AL39" s="308"/>
      <c r="AM39" s="308"/>
      <c r="AN39" s="308"/>
      <c r="AO39" s="385"/>
      <c r="AQ39" s="435"/>
      <c r="AR39" s="308"/>
      <c r="AS39" s="308"/>
      <c r="AT39" s="308"/>
      <c r="AU39" s="308"/>
      <c r="AV39" s="308"/>
      <c r="AW39" s="308"/>
      <c r="AX39" s="308"/>
      <c r="AY39" s="308"/>
      <c r="AZ39" s="308"/>
      <c r="BA39" s="308"/>
      <c r="BB39" s="308"/>
      <c r="BC39" s="308"/>
      <c r="BD39" s="308"/>
      <c r="BE39" s="308"/>
      <c r="BF39" s="308"/>
      <c r="BG39" s="308"/>
      <c r="BH39" s="308"/>
      <c r="BI39" s="308"/>
      <c r="BJ39" s="308"/>
      <c r="BK39" s="308"/>
      <c r="BL39" s="308"/>
      <c r="BM39" s="308"/>
      <c r="BN39" s="308"/>
      <c r="BO39" s="308"/>
      <c r="BP39" s="308"/>
      <c r="BQ39" s="308"/>
      <c r="BR39" s="308"/>
      <c r="BS39" s="308"/>
      <c r="BT39" s="308"/>
      <c r="BU39" s="308"/>
      <c r="BV39" s="308"/>
      <c r="BZ39" s="414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</row>
    <row r="40" spans="7:109" ht="12.75">
      <c r="G40" s="435"/>
      <c r="H40" s="308"/>
      <c r="I40" s="308"/>
      <c r="J40" s="308"/>
      <c r="K40" s="308"/>
      <c r="L40" s="308"/>
      <c r="M40" s="308"/>
      <c r="N40" s="308"/>
      <c r="O40" s="308"/>
      <c r="P40" s="308"/>
      <c r="Q40" s="308"/>
      <c r="R40" s="308"/>
      <c r="S40" s="308"/>
      <c r="T40" s="308"/>
      <c r="U40" s="308"/>
      <c r="V40" s="308"/>
      <c r="W40" s="308"/>
      <c r="X40" s="308"/>
      <c r="Y40" s="308"/>
      <c r="Z40" s="308"/>
      <c r="AA40" s="308"/>
      <c r="AB40" s="308"/>
      <c r="AC40" s="308"/>
      <c r="AD40" s="308"/>
      <c r="AE40" s="308" t="s">
        <v>436</v>
      </c>
      <c r="AF40" s="308"/>
      <c r="AG40" s="308"/>
      <c r="AH40" s="308"/>
      <c r="AI40" s="308"/>
      <c r="AJ40" s="308"/>
      <c r="AK40" s="308"/>
      <c r="AL40" s="308"/>
      <c r="AM40" s="308"/>
      <c r="AN40" s="308"/>
      <c r="AO40" s="385"/>
      <c r="AQ40" s="435"/>
      <c r="AR40" s="308"/>
      <c r="AS40" s="308"/>
      <c r="AT40" s="308"/>
      <c r="AU40" s="308"/>
      <c r="AV40" s="308"/>
      <c r="AW40" s="308"/>
      <c r="AX40" s="308"/>
      <c r="AY40" s="308"/>
      <c r="AZ40" s="308"/>
      <c r="BA40" s="308"/>
      <c r="BB40" s="308"/>
      <c r="BC40" s="308"/>
      <c r="BD40" s="308"/>
      <c r="BE40" s="308"/>
      <c r="BF40" s="308"/>
      <c r="BG40" s="308"/>
      <c r="BH40" s="308"/>
      <c r="BI40" s="308"/>
      <c r="BJ40" s="308"/>
      <c r="BK40" s="308"/>
      <c r="BL40" s="308"/>
      <c r="BM40" s="308"/>
      <c r="BN40" s="308"/>
      <c r="BO40" s="308"/>
      <c r="BP40" s="308"/>
      <c r="BQ40" s="308"/>
      <c r="BR40" s="308"/>
      <c r="BS40" s="308"/>
      <c r="BT40" s="308"/>
      <c r="BU40" s="308"/>
      <c r="BV40" s="308"/>
      <c r="BZ40" s="414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</row>
    <row r="41" spans="7:109" ht="12.75">
      <c r="G41" s="435"/>
      <c r="H41" s="396"/>
      <c r="I41" s="308"/>
      <c r="J41" s="383"/>
      <c r="K41" s="308"/>
      <c r="L41" s="308"/>
      <c r="M41" s="308"/>
      <c r="N41" s="308"/>
      <c r="O41" s="308"/>
      <c r="P41" s="308"/>
      <c r="Q41" s="308"/>
      <c r="R41" s="308"/>
      <c r="S41" s="308"/>
      <c r="T41" s="308"/>
      <c r="U41" s="308"/>
      <c r="V41" s="308"/>
      <c r="W41" s="308"/>
      <c r="X41" s="308"/>
      <c r="Y41" s="308"/>
      <c r="Z41" s="308"/>
      <c r="AA41" s="308"/>
      <c r="AB41" s="308"/>
      <c r="AC41" s="308"/>
      <c r="AD41" s="308"/>
      <c r="AE41" s="308"/>
      <c r="AF41" s="308"/>
      <c r="AG41" s="308"/>
      <c r="AH41" s="308"/>
      <c r="AI41" s="308"/>
      <c r="AJ41" s="308"/>
      <c r="AK41" s="308"/>
      <c r="AL41" s="308"/>
      <c r="AM41" s="308"/>
      <c r="AN41" s="308"/>
      <c r="AO41" s="385"/>
      <c r="AQ41" s="435"/>
      <c r="AR41" s="308"/>
      <c r="AS41" s="308"/>
      <c r="AT41" s="383"/>
      <c r="AU41" s="308"/>
      <c r="AV41" s="308"/>
      <c r="AW41" s="308"/>
      <c r="AX41" s="308"/>
      <c r="AY41" s="308"/>
      <c r="AZ41" s="308"/>
      <c r="BA41" s="308"/>
      <c r="BB41" s="308"/>
      <c r="BC41" s="308"/>
      <c r="BD41" s="308"/>
      <c r="BE41" s="308"/>
      <c r="BF41" s="308"/>
      <c r="BG41" s="308"/>
      <c r="BH41" s="308"/>
      <c r="BI41" s="308"/>
      <c r="BJ41" s="308"/>
      <c r="BK41" s="308"/>
      <c r="BL41" s="308"/>
      <c r="BM41" s="308"/>
      <c r="BN41" s="308"/>
      <c r="BO41" s="308"/>
      <c r="BP41" s="308"/>
      <c r="BQ41" s="308"/>
      <c r="BR41" s="308"/>
      <c r="BS41" s="308"/>
      <c r="BT41" s="308"/>
      <c r="BU41" s="308"/>
      <c r="BV41" s="308"/>
      <c r="BZ41" s="414"/>
      <c r="CA41" s="9"/>
      <c r="CB41" s="9"/>
      <c r="CC41" s="173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</row>
    <row r="42" spans="7:109" ht="12.75">
      <c r="G42" s="435"/>
      <c r="H42" s="396" t="s">
        <v>432</v>
      </c>
      <c r="I42" s="308"/>
      <c r="J42" s="308"/>
      <c r="K42" s="308"/>
      <c r="L42" s="308"/>
      <c r="M42" s="308"/>
      <c r="N42" s="308"/>
      <c r="O42" s="308"/>
      <c r="P42" s="308"/>
      <c r="Q42" s="308"/>
      <c r="R42" s="308"/>
      <c r="S42" s="308"/>
      <c r="T42" s="308"/>
      <c r="U42" s="308"/>
      <c r="V42" s="308"/>
      <c r="W42" s="308"/>
      <c r="X42" s="308"/>
      <c r="Y42" s="308"/>
      <c r="Z42" s="308"/>
      <c r="AA42" s="308"/>
      <c r="AB42" s="308"/>
      <c r="AC42" s="308"/>
      <c r="AD42" s="308"/>
      <c r="AE42" s="308"/>
      <c r="AF42" s="308"/>
      <c r="AG42" s="308"/>
      <c r="AH42" s="308"/>
      <c r="AI42" s="308"/>
      <c r="AJ42" s="308"/>
      <c r="AK42" s="308"/>
      <c r="AL42" s="308"/>
      <c r="AM42" s="308"/>
      <c r="AN42" s="308"/>
      <c r="AO42" s="385"/>
      <c r="AQ42" s="435"/>
      <c r="AR42" s="308"/>
      <c r="AS42" s="308"/>
      <c r="AT42" s="308"/>
      <c r="AU42" s="308"/>
      <c r="AV42" s="308"/>
      <c r="AW42" s="308"/>
      <c r="AX42" s="308"/>
      <c r="AY42" s="308"/>
      <c r="AZ42" s="308"/>
      <c r="BA42" s="308"/>
      <c r="BB42" s="308"/>
      <c r="BC42" s="308"/>
      <c r="BD42" s="308"/>
      <c r="BE42" s="308"/>
      <c r="BF42" s="308"/>
      <c r="BG42" s="308"/>
      <c r="BH42" s="308"/>
      <c r="BI42" s="308"/>
      <c r="BJ42" s="308"/>
      <c r="BK42" s="308"/>
      <c r="BL42" s="308"/>
      <c r="BM42" s="308"/>
      <c r="BN42" s="308"/>
      <c r="BO42" s="308"/>
      <c r="BP42" s="308"/>
      <c r="BQ42" s="308"/>
      <c r="BR42" s="308"/>
      <c r="BS42" s="308"/>
      <c r="BT42" s="308"/>
      <c r="BU42" s="308"/>
      <c r="BV42" s="308"/>
      <c r="BZ42" s="414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</row>
    <row r="43" spans="7:109" ht="12.75">
      <c r="G43" s="436"/>
      <c r="H43" s="396" t="s">
        <v>433</v>
      </c>
      <c r="I43" s="308"/>
      <c r="J43" s="308"/>
      <c r="K43" s="308"/>
      <c r="L43" s="308"/>
      <c r="M43" s="308"/>
      <c r="N43" s="308"/>
      <c r="O43" s="308"/>
      <c r="P43" s="308"/>
      <c r="Q43" s="308"/>
      <c r="R43" s="308"/>
      <c r="S43" s="308"/>
      <c r="T43" s="308"/>
      <c r="U43" s="308"/>
      <c r="V43" s="308"/>
      <c r="W43" s="308"/>
      <c r="X43" s="308"/>
      <c r="Y43" s="308"/>
      <c r="Z43" s="308"/>
      <c r="AA43" s="308"/>
      <c r="AB43" s="308"/>
      <c r="AC43" s="308"/>
      <c r="AD43" s="308"/>
      <c r="AE43" s="308"/>
      <c r="AF43" s="308"/>
      <c r="AG43" s="308"/>
      <c r="AH43" s="308"/>
      <c r="AI43" s="308"/>
      <c r="AJ43" s="308"/>
      <c r="AK43" s="308"/>
      <c r="AL43" s="308"/>
      <c r="AM43" s="308"/>
      <c r="AN43" s="308"/>
      <c r="AO43" s="385"/>
      <c r="AQ43" s="436"/>
      <c r="AR43" s="308"/>
      <c r="AS43" s="308"/>
      <c r="AT43" s="308"/>
      <c r="AU43" s="308"/>
      <c r="AV43" s="308"/>
      <c r="AW43" s="308"/>
      <c r="AX43" s="308"/>
      <c r="AY43" s="308"/>
      <c r="AZ43" s="308"/>
      <c r="BA43" s="308"/>
      <c r="BB43" s="308"/>
      <c r="BC43" s="308"/>
      <c r="BD43" s="308"/>
      <c r="BE43" s="308"/>
      <c r="BF43" s="308"/>
      <c r="BG43" s="308"/>
      <c r="BH43" s="308"/>
      <c r="BI43" s="308"/>
      <c r="BJ43" s="308"/>
      <c r="BK43" s="308"/>
      <c r="BL43" s="308"/>
      <c r="BM43" s="308"/>
      <c r="BN43" s="308"/>
      <c r="BO43" s="308"/>
      <c r="BP43" s="308"/>
      <c r="BQ43" s="308"/>
      <c r="BR43" s="308"/>
      <c r="BS43" s="308"/>
      <c r="BT43" s="308"/>
      <c r="BU43" s="308"/>
      <c r="BV43" s="308"/>
      <c r="BZ43" s="505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</row>
    <row r="44" spans="7:109" ht="12.75">
      <c r="G44" s="436"/>
      <c r="H44" s="396" t="s">
        <v>434</v>
      </c>
      <c r="I44" s="308"/>
      <c r="J44" s="308"/>
      <c r="K44" s="308"/>
      <c r="L44" s="308"/>
      <c r="M44" s="308"/>
      <c r="N44" s="308"/>
      <c r="O44" s="308"/>
      <c r="P44" s="308"/>
      <c r="Q44" s="308"/>
      <c r="R44" s="308"/>
      <c r="S44" s="308"/>
      <c r="T44" s="308"/>
      <c r="U44" s="308"/>
      <c r="V44" s="308"/>
      <c r="W44" s="308"/>
      <c r="X44" s="308"/>
      <c r="Y44" s="308"/>
      <c r="Z44" s="308"/>
      <c r="AA44" s="308"/>
      <c r="AB44" s="308"/>
      <c r="AC44" s="308"/>
      <c r="AD44" s="308"/>
      <c r="AE44" s="308"/>
      <c r="AF44" s="308"/>
      <c r="AG44" s="308"/>
      <c r="AH44" s="308"/>
      <c r="AI44" s="308"/>
      <c r="AJ44" s="308"/>
      <c r="AK44" s="308"/>
      <c r="AL44" s="308"/>
      <c r="AM44" s="308"/>
      <c r="AN44" s="308"/>
      <c r="AO44" s="385"/>
      <c r="AQ44" s="436"/>
      <c r="AR44" s="308"/>
      <c r="AS44" s="308"/>
      <c r="AT44" s="308"/>
      <c r="AU44" s="308"/>
      <c r="AV44" s="308"/>
      <c r="AW44" s="308"/>
      <c r="AX44" s="308"/>
      <c r="AY44" s="308"/>
      <c r="AZ44" s="308"/>
      <c r="BA44" s="308"/>
      <c r="BB44" s="308"/>
      <c r="BC44" s="308"/>
      <c r="BD44" s="308"/>
      <c r="BE44" s="308"/>
      <c r="BF44" s="308"/>
      <c r="BG44" s="308"/>
      <c r="BH44" s="308"/>
      <c r="BI44" s="308"/>
      <c r="BJ44" s="308"/>
      <c r="BK44" s="308"/>
      <c r="BL44" s="308"/>
      <c r="BM44" s="308"/>
      <c r="BN44" s="308"/>
      <c r="BO44" s="308"/>
      <c r="BP44" s="308"/>
      <c r="BQ44" s="308"/>
      <c r="BR44" s="308"/>
      <c r="BS44" s="308"/>
      <c r="BT44" s="308"/>
      <c r="BU44" s="308"/>
      <c r="BV44" s="308"/>
      <c r="BZ44" s="505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</row>
    <row r="45" spans="7:109" ht="12.75">
      <c r="G45" s="306"/>
      <c r="H45" s="306" t="s">
        <v>437</v>
      </c>
      <c r="I45" s="306"/>
      <c r="J45" s="306"/>
      <c r="K45" s="306"/>
      <c r="L45" s="306"/>
      <c r="M45" s="306"/>
      <c r="N45" s="306"/>
      <c r="O45" s="306"/>
      <c r="P45" s="306"/>
      <c r="Q45" s="306"/>
      <c r="R45" s="306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476"/>
      <c r="AQ45" s="306"/>
      <c r="AR45" s="306"/>
      <c r="AS45" s="306"/>
      <c r="AT45" s="306"/>
      <c r="AU45" s="306"/>
      <c r="AV45" s="306"/>
      <c r="AW45" s="306"/>
      <c r="AX45" s="306"/>
      <c r="AY45" s="306"/>
      <c r="AZ45" s="306"/>
      <c r="BA45" s="306"/>
      <c r="BB45" s="306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Z45" s="84"/>
      <c r="CA45" s="84"/>
      <c r="CB45" s="84"/>
      <c r="CD45" s="84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</row>
    <row r="46" spans="7:54" ht="12.75">
      <c r="G46" s="77"/>
      <c r="H46" s="77" t="s">
        <v>438</v>
      </c>
      <c r="I46" s="77"/>
      <c r="J46" s="306"/>
      <c r="K46" s="77"/>
      <c r="L46" s="306"/>
      <c r="M46" s="306"/>
      <c r="N46" s="306"/>
      <c r="O46" s="306"/>
      <c r="P46" s="306"/>
      <c r="Q46" s="306"/>
      <c r="R46" s="306"/>
      <c r="AQ46" s="77"/>
      <c r="AR46" s="77"/>
      <c r="AS46" s="77"/>
      <c r="AT46" s="306"/>
      <c r="AU46" s="77"/>
      <c r="AV46" s="306"/>
      <c r="AW46" s="306"/>
      <c r="AX46" s="306"/>
      <c r="AY46" s="306"/>
      <c r="AZ46" s="306"/>
      <c r="BA46" s="306"/>
      <c r="BB46" s="306"/>
    </row>
    <row r="47" spans="7:54" ht="12.75">
      <c r="G47" s="77"/>
      <c r="H47" s="77"/>
      <c r="I47" s="77"/>
      <c r="J47" s="306"/>
      <c r="K47" s="77"/>
      <c r="L47" s="306"/>
      <c r="M47" s="306"/>
      <c r="N47" s="306"/>
      <c r="O47" s="306"/>
      <c r="P47" s="306"/>
      <c r="Q47" s="306"/>
      <c r="R47" s="306"/>
      <c r="AQ47" s="77"/>
      <c r="AR47" s="77"/>
      <c r="AS47" s="77"/>
      <c r="AT47" s="306"/>
      <c r="AU47" s="77"/>
      <c r="AV47" s="306"/>
      <c r="AW47" s="306"/>
      <c r="AX47" s="306"/>
      <c r="AY47" s="306"/>
      <c r="AZ47" s="306"/>
      <c r="BA47" s="306"/>
      <c r="BB47" s="306"/>
    </row>
    <row r="48" spans="7:54" ht="12.75">
      <c r="G48" s="77"/>
      <c r="H48" s="77"/>
      <c r="I48" s="77"/>
      <c r="J48" s="306"/>
      <c r="K48" s="77"/>
      <c r="L48" s="306"/>
      <c r="M48" s="306"/>
      <c r="N48" s="306"/>
      <c r="O48" s="306"/>
      <c r="P48" s="306"/>
      <c r="Q48" s="306"/>
      <c r="R48" s="306"/>
      <c r="AQ48" s="77"/>
      <c r="AR48" s="77"/>
      <c r="AS48" s="77"/>
      <c r="AT48" s="306"/>
      <c r="AU48" s="77"/>
      <c r="AV48" s="306"/>
      <c r="AW48" s="306"/>
      <c r="AX48" s="306"/>
      <c r="AY48" s="306"/>
      <c r="AZ48" s="306"/>
      <c r="BA48" s="306"/>
      <c r="BB48" s="306"/>
    </row>
    <row r="49" spans="7:54" ht="12.75">
      <c r="G49" s="77"/>
      <c r="H49" s="77"/>
      <c r="I49" s="77"/>
      <c r="J49" s="306"/>
      <c r="K49" s="77"/>
      <c r="L49" s="306"/>
      <c r="M49" s="306"/>
      <c r="N49" s="306"/>
      <c r="O49" s="306"/>
      <c r="P49" s="306"/>
      <c r="Q49" s="306"/>
      <c r="R49" s="306"/>
      <c r="AQ49" s="77"/>
      <c r="AR49" s="77"/>
      <c r="AS49" s="77"/>
      <c r="AT49" s="306"/>
      <c r="AU49" s="77"/>
      <c r="AV49" s="306"/>
      <c r="AW49" s="306"/>
      <c r="AX49" s="306"/>
      <c r="AY49" s="306"/>
      <c r="AZ49" s="306"/>
      <c r="BA49" s="306"/>
      <c r="BB49" s="306"/>
    </row>
    <row r="50" spans="7:54" ht="12.75">
      <c r="G50" s="77"/>
      <c r="H50" s="77"/>
      <c r="I50" s="77"/>
      <c r="J50" s="306"/>
      <c r="K50" s="77"/>
      <c r="L50" s="306"/>
      <c r="M50" s="306"/>
      <c r="N50" s="306"/>
      <c r="O50" s="306"/>
      <c r="P50" s="306"/>
      <c r="Q50" s="306"/>
      <c r="R50" s="306"/>
      <c r="AQ50" s="77"/>
      <c r="AR50" s="77"/>
      <c r="AS50" s="77"/>
      <c r="AT50" s="306"/>
      <c r="AU50" s="77"/>
      <c r="AV50" s="306"/>
      <c r="AW50" s="306"/>
      <c r="AX50" s="306"/>
      <c r="AY50" s="306"/>
      <c r="AZ50" s="306"/>
      <c r="BA50" s="306"/>
      <c r="BB50" s="306"/>
    </row>
    <row r="51" spans="7:54" ht="12.75">
      <c r="G51" s="77"/>
      <c r="H51" s="77"/>
      <c r="I51" s="77"/>
      <c r="J51" s="306"/>
      <c r="K51" s="77"/>
      <c r="L51" s="306"/>
      <c r="M51" s="306"/>
      <c r="N51" s="306"/>
      <c r="O51" s="306"/>
      <c r="P51" s="306"/>
      <c r="Q51" s="306"/>
      <c r="R51" s="306"/>
      <c r="AQ51" s="77"/>
      <c r="AR51" s="77"/>
      <c r="AS51" s="77"/>
      <c r="AT51" s="306"/>
      <c r="AU51" s="77"/>
      <c r="AV51" s="306"/>
      <c r="AW51" s="306"/>
      <c r="AX51" s="306"/>
      <c r="AY51" s="306"/>
      <c r="AZ51" s="306"/>
      <c r="BA51" s="306"/>
      <c r="BB51" s="306"/>
    </row>
    <row r="52" spans="7:54" ht="12.75">
      <c r="G52" s="77"/>
      <c r="H52" s="77"/>
      <c r="I52" s="77"/>
      <c r="J52" s="306"/>
      <c r="K52" s="77"/>
      <c r="L52" s="306"/>
      <c r="M52" s="306"/>
      <c r="N52" s="306"/>
      <c r="O52" s="306"/>
      <c r="P52" s="306"/>
      <c r="Q52" s="306"/>
      <c r="R52" s="306"/>
      <c r="AQ52" s="77"/>
      <c r="AR52" s="77"/>
      <c r="AS52" s="77"/>
      <c r="AT52" s="306"/>
      <c r="AU52" s="77"/>
      <c r="AV52" s="306"/>
      <c r="AW52" s="306"/>
      <c r="AX52" s="306"/>
      <c r="AY52" s="306"/>
      <c r="AZ52" s="306"/>
      <c r="BA52" s="306"/>
      <c r="BB52" s="306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9" sqref="G19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4"/>
  <sheetViews>
    <sheetView zoomScalePageLayoutView="0" workbookViewId="0" topLeftCell="A1">
      <selection activeCell="C52" sqref="C52"/>
    </sheetView>
  </sheetViews>
  <sheetFormatPr defaultColWidth="9.140625" defaultRowHeight="12.75"/>
  <cols>
    <col min="3" max="3" width="12.00390625" style="0" customWidth="1"/>
    <col min="4" max="4" width="5.00390625" style="0" customWidth="1"/>
    <col min="5" max="5" width="6.8515625" style="0" customWidth="1"/>
    <col min="6" max="6" width="7.421875" style="0" customWidth="1"/>
    <col min="7" max="7" width="6.8515625" style="0" customWidth="1"/>
    <col min="8" max="8" width="6.7109375" style="0" customWidth="1"/>
    <col min="9" max="9" width="6.57421875" style="0" customWidth="1"/>
    <col min="10" max="10" width="6.7109375" style="0" customWidth="1"/>
    <col min="11" max="11" width="6.140625" style="0" customWidth="1"/>
    <col min="12" max="12" width="7.00390625" style="0" customWidth="1"/>
    <col min="13" max="13" width="6.421875" style="0" customWidth="1"/>
    <col min="14" max="14" width="6.7109375" style="0" customWidth="1"/>
    <col min="15" max="15" width="2.7109375" style="7" customWidth="1"/>
    <col min="16" max="16" width="5.57421875" style="7" customWidth="1"/>
    <col min="17" max="17" width="7.7109375" style="7" customWidth="1"/>
    <col min="18" max="18" width="7.00390625" style="7" customWidth="1"/>
    <col min="19" max="19" width="7.28125" style="0" customWidth="1"/>
    <col min="20" max="21" width="7.421875" style="0" customWidth="1"/>
    <col min="22" max="22" width="7.28125" style="0" customWidth="1"/>
    <col min="23" max="23" width="7.140625" style="0" customWidth="1"/>
    <col min="24" max="24" width="6.28125" style="0" customWidth="1"/>
    <col min="25" max="25" width="7.7109375" style="0" customWidth="1"/>
    <col min="26" max="26" width="7.57421875" style="0" customWidth="1"/>
  </cols>
  <sheetData>
    <row r="1" spans="1:14" ht="11.25" customHeight="1">
      <c r="A1" s="7"/>
      <c r="B1" s="7"/>
      <c r="C1" s="7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26" ht="11.25" customHeight="1" thickBot="1">
      <c r="A2" s="7"/>
      <c r="B2" s="7"/>
      <c r="C2" s="7"/>
      <c r="D2" s="10" t="s">
        <v>9</v>
      </c>
      <c r="E2" s="10" t="s">
        <v>13</v>
      </c>
      <c r="F2" s="10" t="s">
        <v>14</v>
      </c>
      <c r="G2" s="10" t="s">
        <v>15</v>
      </c>
      <c r="H2" s="10" t="s">
        <v>16</v>
      </c>
      <c r="I2" s="10" t="s">
        <v>17</v>
      </c>
      <c r="J2" s="10" t="s">
        <v>18</v>
      </c>
      <c r="K2" s="10" t="s">
        <v>19</v>
      </c>
      <c r="L2" s="10" t="s">
        <v>20</v>
      </c>
      <c r="M2" s="10" t="s">
        <v>21</v>
      </c>
      <c r="N2" s="10" t="s">
        <v>22</v>
      </c>
      <c r="P2" s="11" t="s">
        <v>9</v>
      </c>
      <c r="Q2" s="11" t="s">
        <v>13</v>
      </c>
      <c r="R2" s="11" t="s">
        <v>14</v>
      </c>
      <c r="S2" s="11" t="s">
        <v>15</v>
      </c>
      <c r="T2" s="11" t="s">
        <v>16</v>
      </c>
      <c r="U2" s="11" t="s">
        <v>17</v>
      </c>
      <c r="V2" s="11" t="s">
        <v>18</v>
      </c>
      <c r="W2" s="11" t="s">
        <v>19</v>
      </c>
      <c r="X2" s="11" t="s">
        <v>20</v>
      </c>
      <c r="Y2" s="11" t="s">
        <v>21</v>
      </c>
      <c r="Z2" s="11" t="s">
        <v>22</v>
      </c>
    </row>
    <row r="3" spans="1:26" ht="12.75">
      <c r="A3" s="8" t="s">
        <v>24</v>
      </c>
      <c r="B3" s="7"/>
      <c r="C3" s="7"/>
      <c r="D3" s="12">
        <v>-3.5</v>
      </c>
      <c r="E3" s="6">
        <f>NORMDIST(D3+0,0,1,TRUE)</f>
        <v>0.00023262907903420782</v>
      </c>
      <c r="F3" s="6">
        <f>NORMDIST(D3+0.1,0,1,TRUE)</f>
        <v>0.00033692926567652215</v>
      </c>
      <c r="G3" s="6">
        <f>NORMDIST(D3+0.02,0,1,TRUE)</f>
        <v>0.00025070689128126045</v>
      </c>
      <c r="H3" s="6">
        <f>NORMDIST(D3+0.03,0,1,TRUE)</f>
        <v>0.00026022918242696313</v>
      </c>
      <c r="I3" s="6">
        <f>NORMDIST(D3+0.04,0,1,TRUE)</f>
        <v>0.00027008769396363874</v>
      </c>
      <c r="J3" s="6">
        <f>NORMDIST(D3+0.05,0,1,TRUE)</f>
        <v>0.0002802932768166677</v>
      </c>
      <c r="K3" s="6">
        <f>NORMDIST(D3+0.06,0,1,TRUE)</f>
        <v>0.00029085709329146336</v>
      </c>
      <c r="L3" s="6">
        <f>NORMDIST(D3+0.07,0,1,TRUE)</f>
        <v>0.00030179062460800044</v>
      </c>
      <c r="M3" s="6">
        <f>NORMDIST(D3+0.08,0,1,TRUE)</f>
        <v>0.000313105678581449</v>
      </c>
      <c r="N3" s="6">
        <f>NORMDIST(D3+0.09,0,1,TRUE)</f>
        <v>0.0003248143974194928</v>
      </c>
      <c r="P3" s="12">
        <v>0</v>
      </c>
      <c r="Q3" s="6">
        <v>0.5</v>
      </c>
      <c r="R3" s="6">
        <v>0.5039893563146316</v>
      </c>
      <c r="S3" s="6">
        <v>0.5079783137169019</v>
      </c>
      <c r="T3" s="6">
        <v>0.5119664734141126</v>
      </c>
      <c r="U3" s="6">
        <v>0.5159534368528308</v>
      </c>
      <c r="V3" s="6">
        <v>0.5199388058383725</v>
      </c>
      <c r="W3" s="6">
        <v>0.5239221826541068</v>
      </c>
      <c r="X3" s="6">
        <v>0.5279031701805211</v>
      </c>
      <c r="Y3" s="6">
        <v>0.5318813720139873</v>
      </c>
      <c r="Z3" s="6">
        <v>0.5358563925851721</v>
      </c>
    </row>
    <row r="4" spans="1:26" ht="12.75">
      <c r="A4" s="8" t="s">
        <v>25</v>
      </c>
      <c r="B4" s="7"/>
      <c r="C4" s="7"/>
      <c r="D4" s="13">
        <v>-3.4</v>
      </c>
      <c r="E4" s="6">
        <v>0.00033692926567652215</v>
      </c>
      <c r="F4" s="6">
        <v>0.0003494631183392771</v>
      </c>
      <c r="G4" s="6">
        <v>0.000362429149032506</v>
      </c>
      <c r="H4" s="6">
        <v>0.00037584091839959477</v>
      </c>
      <c r="I4" s="6">
        <v>0.00038971236258189546</v>
      </c>
      <c r="J4" s="6">
        <v>0.0004040578018642549</v>
      </c>
      <c r="K4" s="6">
        <v>0.00041889194944966235</v>
      </c>
      <c r="L4" s="6">
        <v>0.00043422992038211206</v>
      </c>
      <c r="M4" s="6">
        <v>0.00045008724059236727</v>
      </c>
      <c r="N4" s="6">
        <v>0.0004664798561082595</v>
      </c>
      <c r="P4" s="12">
        <v>0.1</v>
      </c>
      <c r="Q4" s="6">
        <v>0.539827837277029</v>
      </c>
      <c r="R4" s="6">
        <v>0.5437953125423168</v>
      </c>
      <c r="S4" s="6">
        <v>0.5477584260205839</v>
      </c>
      <c r="T4" s="6">
        <v>0.5517167866545611</v>
      </c>
      <c r="U4" s="6">
        <v>0.5556700048059064</v>
      </c>
      <c r="V4" s="6">
        <v>0.5596176923702425</v>
      </c>
      <c r="W4" s="6">
        <v>0.5635594628914329</v>
      </c>
      <c r="X4" s="6">
        <v>0.5674949316750384</v>
      </c>
      <c r="Y4" s="6">
        <v>0.5714237159009007</v>
      </c>
      <c r="Z4" s="6">
        <v>0.5753454347347955</v>
      </c>
    </row>
    <row r="5" spans="1:26" ht="12.75">
      <c r="A5" s="7"/>
      <c r="B5" s="7"/>
      <c r="C5" s="7"/>
      <c r="D5" s="12">
        <v>-3.3</v>
      </c>
      <c r="E5" s="6">
        <v>0.0004834241423842256</v>
      </c>
      <c r="F5" s="6">
        <v>0.0005009369137858322</v>
      </c>
      <c r="G5" s="6">
        <v>0.0005190354332076375</v>
      </c>
      <c r="H5" s="6">
        <v>0.0005377374218296094</v>
      </c>
      <c r="I5" s="6">
        <v>0.0005570610690239786</v>
      </c>
      <c r="J5" s="6">
        <v>0.0005770250423907664</v>
      </c>
      <c r="K5" s="6">
        <v>0.0005976484979343111</v>
      </c>
      <c r="L5" s="6">
        <v>0.000618951090387343</v>
      </c>
      <c r="M5" s="6">
        <v>0.0006409529836601813</v>
      </c>
      <c r="N5" s="6">
        <v>0.0006636748614397003</v>
      </c>
      <c r="P5" s="12">
        <v>0.2</v>
      </c>
      <c r="Q5" s="6">
        <v>0.579259709439103</v>
      </c>
      <c r="R5" s="6">
        <v>0.5831661634824423</v>
      </c>
      <c r="S5" s="6">
        <v>0.5870644226482147</v>
      </c>
      <c r="T5" s="6">
        <v>0.5909541151420059</v>
      </c>
      <c r="U5" s="6">
        <v>0.5948348716977958</v>
      </c>
      <c r="V5" s="6">
        <v>0.5987063256829237</v>
      </c>
      <c r="W5" s="6">
        <v>0.6025681132017605</v>
      </c>
      <c r="X5" s="6">
        <v>0.6064198731980395</v>
      </c>
      <c r="Y5" s="6">
        <v>0.6102612475557972</v>
      </c>
      <c r="Z5" s="6">
        <v>0.6140918811988774</v>
      </c>
    </row>
    <row r="6" spans="1:26" ht="12.75">
      <c r="A6" s="7"/>
      <c r="B6" s="7"/>
      <c r="C6" s="7"/>
      <c r="D6" s="12">
        <v>-3.1999999999999997</v>
      </c>
      <c r="E6" s="6">
        <v>0.0006871379379151943</v>
      </c>
      <c r="F6" s="6">
        <v>0.000711363968645129</v>
      </c>
      <c r="G6" s="6">
        <v>0.000736375261554012</v>
      </c>
      <c r="H6" s="6">
        <v>0.0007621946880674857</v>
      </c>
      <c r="I6" s="6">
        <v>0.0007888456943758726</v>
      </c>
      <c r="J6" s="6">
        <v>0.0008163523128286165</v>
      </c>
      <c r="K6" s="6">
        <v>0.0008447391734591747</v>
      </c>
      <c r="L6" s="6">
        <v>0.0008740315156317013</v>
      </c>
      <c r="M6" s="6">
        <v>0.0009042551998221793</v>
      </c>
      <c r="N6" s="6">
        <v>0.0009354367195137936</v>
      </c>
      <c r="P6" s="12">
        <v>0.30000000000000004</v>
      </c>
      <c r="Q6" s="6">
        <v>0.6179114221889527</v>
      </c>
      <c r="R6" s="6">
        <v>0.6217195218220193</v>
      </c>
      <c r="S6" s="6">
        <v>0.6255158347233201</v>
      </c>
      <c r="T6" s="6">
        <v>0.6293000189406536</v>
      </c>
      <c r="U6" s="6">
        <v>0.6330717360360281</v>
      </c>
      <c r="V6" s="6">
        <v>0.6368306511756191</v>
      </c>
      <c r="W6" s="6">
        <v>0.6405764332179913</v>
      </c>
      <c r="X6" s="6">
        <v>0.6443087548005468</v>
      </c>
      <c r="Y6" s="6">
        <v>0.6480272924241628</v>
      </c>
      <c r="Z6" s="6">
        <v>0.6517317265359824</v>
      </c>
    </row>
    <row r="7" spans="1:26" ht="12.75">
      <c r="A7" s="7"/>
      <c r="B7" s="7"/>
      <c r="C7" s="7"/>
      <c r="D7" s="12">
        <v>-3.0999999999999996</v>
      </c>
      <c r="E7" s="6">
        <v>0.0009676032132187595</v>
      </c>
      <c r="F7" s="6">
        <v>0.0010007824766140594</v>
      </c>
      <c r="G7" s="6">
        <v>0.0010350029748034117</v>
      </c>
      <c r="H7" s="6">
        <v>0.0010702938546788276</v>
      </c>
      <c r="I7" s="6">
        <v>0.0011066849574090654</v>
      </c>
      <c r="J7" s="6">
        <v>0.001144206831022787</v>
      </c>
      <c r="K7" s="6">
        <v>0.0011828907431041813</v>
      </c>
      <c r="L7" s="6">
        <v>0.0012227686935921689</v>
      </c>
      <c r="M7" s="6">
        <v>0.001263873427672424</v>
      </c>
      <c r="N7" s="6">
        <v>0.0013062384487694256</v>
      </c>
      <c r="P7" s="12">
        <v>0.4</v>
      </c>
      <c r="Q7" s="6">
        <v>0.6554217416103242</v>
      </c>
      <c r="R7" s="6">
        <v>0.6590970262276774</v>
      </c>
      <c r="S7" s="6">
        <v>0.6627572731517505</v>
      </c>
      <c r="T7" s="6">
        <v>0.6664021794045423</v>
      </c>
      <c r="U7" s="6">
        <v>0.6700314463394064</v>
      </c>
      <c r="V7" s="6">
        <v>0.6736447797120799</v>
      </c>
      <c r="W7" s="6">
        <v>0.6772418897496522</v>
      </c>
      <c r="X7" s="6">
        <v>0.6808224912174442</v>
      </c>
      <c r="Y7" s="6">
        <v>0.6843863034837774</v>
      </c>
      <c r="Z7" s="6">
        <v>0.6879330505826095</v>
      </c>
    </row>
    <row r="8" spans="1:26" ht="12.75" customHeight="1" thickBot="1">
      <c r="A8" s="7"/>
      <c r="B8" s="7"/>
      <c r="C8" s="7"/>
      <c r="D8" s="11" t="s">
        <v>9</v>
      </c>
      <c r="E8" s="11" t="s">
        <v>13</v>
      </c>
      <c r="F8" s="11" t="s">
        <v>14</v>
      </c>
      <c r="G8" s="11" t="s">
        <v>15</v>
      </c>
      <c r="H8" s="11" t="s">
        <v>16</v>
      </c>
      <c r="I8" s="11" t="s">
        <v>17</v>
      </c>
      <c r="J8" s="11" t="s">
        <v>18</v>
      </c>
      <c r="K8" s="11" t="s">
        <v>19</v>
      </c>
      <c r="L8" s="11" t="s">
        <v>20</v>
      </c>
      <c r="M8" s="11" t="s">
        <v>21</v>
      </c>
      <c r="N8" s="11" t="s">
        <v>22</v>
      </c>
      <c r="P8" s="12">
        <v>0.5</v>
      </c>
      <c r="Q8" s="6">
        <v>0.6914624612740131</v>
      </c>
      <c r="R8" s="6">
        <v>0.6949742691024805</v>
      </c>
      <c r="S8" s="6">
        <v>0.6984682124530338</v>
      </c>
      <c r="T8" s="6">
        <v>0.7019440346051236</v>
      </c>
      <c r="U8" s="6">
        <v>0.7054014837843019</v>
      </c>
      <c r="V8" s="6">
        <v>0.7088403132116536</v>
      </c>
      <c r="W8" s="6">
        <v>0.712260281150973</v>
      </c>
      <c r="X8" s="6">
        <v>0.7156611509536759</v>
      </c>
      <c r="Y8" s="6">
        <v>0.7190426911014356</v>
      </c>
      <c r="Z8" s="6">
        <v>0.7224046752465351</v>
      </c>
    </row>
    <row r="9" spans="1:26" ht="12.75">
      <c r="A9" s="7"/>
      <c r="B9" s="7"/>
      <c r="C9" s="7"/>
      <c r="D9" s="12">
        <v>-2.9999999999999996</v>
      </c>
      <c r="E9" s="6">
        <v>0.0013498980316301035</v>
      </c>
      <c r="F9" s="6">
        <v>0.0013948872354925257</v>
      </c>
      <c r="G9" s="6">
        <v>0.0014412419173395197</v>
      </c>
      <c r="H9" s="6">
        <v>0.0014889987452373354</v>
      </c>
      <c r="I9" s="6">
        <v>0.001538195211738258</v>
      </c>
      <c r="J9" s="6">
        <v>0.0015888696473649322</v>
      </c>
      <c r="K9" s="6">
        <v>0.0016410612341568598</v>
      </c>
      <c r="L9" s="6">
        <v>0.001694810019277293</v>
      </c>
      <c r="M9" s="6">
        <v>0.0017501569286764163</v>
      </c>
      <c r="N9" s="6">
        <v>0.0018071437808067081</v>
      </c>
      <c r="P9" s="12">
        <v>0.6</v>
      </c>
      <c r="Q9" s="6">
        <v>0.7257468822499263</v>
      </c>
      <c r="R9" s="6">
        <v>0.7290690962169943</v>
      </c>
      <c r="S9" s="6">
        <v>0.732371106531017</v>
      </c>
      <c r="T9" s="6">
        <v>0.7356527078843225</v>
      </c>
      <c r="U9" s="6">
        <v>0.7389137003071384</v>
      </c>
      <c r="V9" s="6">
        <v>0.7421538891941353</v>
      </c>
      <c r="W9" s="6">
        <v>0.7453730853286639</v>
      </c>
      <c r="X9" s="6">
        <v>0.7485711049046899</v>
      </c>
      <c r="Y9" s="6">
        <v>0.7517477695464294</v>
      </c>
      <c r="Z9" s="6">
        <v>0.7549029063256906</v>
      </c>
    </row>
    <row r="10" spans="1:26" ht="12.75">
      <c r="A10" s="7"/>
      <c r="B10" s="7"/>
      <c r="C10" s="7"/>
      <c r="D10" s="12">
        <v>-2.8999999999999995</v>
      </c>
      <c r="E10" s="6">
        <v>0.0018658133003837118</v>
      </c>
      <c r="F10" s="6">
        <v>0.0019262091321876618</v>
      </c>
      <c r="G10" s="6">
        <v>0.0019883758548939756</v>
      </c>
      <c r="H10" s="6">
        <v>0.002052358994939829</v>
      </c>
      <c r="I10" s="6">
        <v>0.0021182050404047192</v>
      </c>
      <c r="J10" s="6">
        <v>0.0021859614549133433</v>
      </c>
      <c r="K10" s="6">
        <v>0.002255676691542252</v>
      </c>
      <c r="L10" s="6">
        <v>0.0023274002067312782</v>
      </c>
      <c r="M10" s="6">
        <v>0.0024011824741893006</v>
      </c>
      <c r="N10" s="6">
        <v>0.002477074998785911</v>
      </c>
      <c r="P10" s="12">
        <v>0.7</v>
      </c>
      <c r="Q10" s="6">
        <v>0.758036347776927</v>
      </c>
      <c r="R10" s="6">
        <v>0.7611479319100133</v>
      </c>
      <c r="S10" s="6">
        <v>0.7642375022207488</v>
      </c>
      <c r="T10" s="6">
        <v>0.7673049076991025</v>
      </c>
      <c r="U10" s="6">
        <v>0.7703500028352094</v>
      </c>
      <c r="V10" s="6">
        <v>0.7733726476231317</v>
      </c>
      <c r="W10" s="6">
        <v>0.7763727075624005</v>
      </c>
      <c r="X10" s="6">
        <v>0.7793500536573503</v>
      </c>
      <c r="Y10" s="6">
        <v>0.7823045624142668</v>
      </c>
      <c r="Z10" s="6">
        <v>0.7852361158363629</v>
      </c>
    </row>
    <row r="11" spans="1:26" ht="12.75">
      <c r="A11" s="7"/>
      <c r="B11" s="7"/>
      <c r="C11" s="7"/>
      <c r="D11" s="12">
        <v>-2.7999999999999994</v>
      </c>
      <c r="E11" s="6">
        <v>0.0025551303304277573</v>
      </c>
      <c r="F11" s="6">
        <v>0.0026354020779049137</v>
      </c>
      <c r="G11" s="6">
        <v>0.0027179449227014985</v>
      </c>
      <c r="H11" s="6">
        <v>0.002802814632765105</v>
      </c>
      <c r="I11" s="6">
        <v>0.00289006807622616</v>
      </c>
      <c r="J11" s="6">
        <v>0.0029797632350546666</v>
      </c>
      <c r="K11" s="6">
        <v>0.003071959218650555</v>
      </c>
      <c r="L11" s="6">
        <v>0.0031667162773578728</v>
      </c>
      <c r="M11" s="6">
        <v>0.003264095815891266</v>
      </c>
      <c r="N11" s="6">
        <v>0.0033641604066692032</v>
      </c>
      <c r="P11" s="12">
        <v>0.7999999999999999</v>
      </c>
      <c r="Q11" s="6">
        <v>0.7881446014166031</v>
      </c>
      <c r="R11" s="6">
        <v>0.7910299121283983</v>
      </c>
      <c r="S11" s="6">
        <v>0.7938919464141869</v>
      </c>
      <c r="T11" s="6">
        <v>0.7967306081719315</v>
      </c>
      <c r="U11" s="6">
        <v>0.7995458067395502</v>
      </c>
      <c r="V11" s="6">
        <v>0.8023374568773076</v>
      </c>
      <c r="W11" s="6">
        <v>0.8051054787481915</v>
      </c>
      <c r="X11" s="6">
        <v>0.8078497978963038</v>
      </c>
      <c r="Y11" s="6">
        <v>0.8105703452232879</v>
      </c>
      <c r="Z11" s="6">
        <v>0.8132670569628273</v>
      </c>
    </row>
    <row r="12" spans="1:26" ht="12.75">
      <c r="A12" s="7"/>
      <c r="B12" s="7"/>
      <c r="C12" s="7"/>
      <c r="D12" s="12">
        <v>-2.6999999999999993</v>
      </c>
      <c r="E12" s="6">
        <v>0.0034669738030406183</v>
      </c>
      <c r="F12" s="6">
        <v>0.0035726009523997515</v>
      </c>
      <c r="G12" s="6">
        <v>0.0036811080091747606</v>
      </c>
      <c r="H12" s="6">
        <v>0.0037925623476854353</v>
      </c>
      <c r="I12" s="6">
        <v>0.003907032574852809</v>
      </c>
      <c r="J12" s="6">
        <v>0.004024588542758556</v>
      </c>
      <c r="K12" s="6">
        <v>0.004145301361035747</v>
      </c>
      <c r="L12" s="6">
        <v>0.004269243409089185</v>
      </c>
      <c r="M12" s="6">
        <v>0.004396488348120897</v>
      </c>
      <c r="N12" s="6">
        <v>0.004527111132967221</v>
      </c>
      <c r="P12" s="12">
        <v>0.8999999999999999</v>
      </c>
      <c r="Q12" s="6">
        <v>0.8159398746532405</v>
      </c>
      <c r="R12" s="6">
        <v>0.8185887451082027</v>
      </c>
      <c r="S12" s="6">
        <v>0.8212136203856282</v>
      </c>
      <c r="T12" s="6">
        <v>0.823814457754742</v>
      </c>
      <c r="U12" s="6">
        <v>0.8263912196613753</v>
      </c>
      <c r="V12" s="6">
        <v>0.8289438736915181</v>
      </c>
      <c r="W12" s="6">
        <v>0.8314723925331622</v>
      </c>
      <c r="X12" s="6">
        <v>0.8339767539364704</v>
      </c>
      <c r="Y12" s="6">
        <v>0.8364569406723075</v>
      </c>
      <c r="Z12" s="6">
        <v>0.838912940489169</v>
      </c>
    </row>
    <row r="13" spans="1:26" ht="13.5" thickBot="1">
      <c r="A13" s="8" t="s">
        <v>23</v>
      </c>
      <c r="B13" s="7"/>
      <c r="C13" s="7"/>
      <c r="D13" s="12">
        <v>-2.599999999999999</v>
      </c>
      <c r="E13" s="6">
        <v>0.004661188023718843</v>
      </c>
      <c r="F13" s="6">
        <v>0.004798796597126342</v>
      </c>
      <c r="G13" s="6">
        <v>0.00494001575777081</v>
      </c>
      <c r="H13" s="6">
        <v>0.005084925748991109</v>
      </c>
      <c r="I13" s="6">
        <v>0.00523360816355567</v>
      </c>
      <c r="J13" s="6">
        <v>0.005386145954066723</v>
      </c>
      <c r="K13" s="6">
        <v>0.005542623443082539</v>
      </c>
      <c r="L13" s="6">
        <v>0.00570312633295067</v>
      </c>
      <c r="M13" s="6">
        <v>0.005867741715332775</v>
      </c>
      <c r="N13" s="6">
        <v>0.006036558080412702</v>
      </c>
      <c r="P13" s="11" t="s">
        <v>9</v>
      </c>
      <c r="Q13" s="11" t="s">
        <v>13</v>
      </c>
      <c r="R13" s="11" t="s">
        <v>14</v>
      </c>
      <c r="S13" s="11" t="s">
        <v>15</v>
      </c>
      <c r="T13" s="11" t="s">
        <v>16</v>
      </c>
      <c r="U13" s="11" t="s">
        <v>17</v>
      </c>
      <c r="V13" s="11" t="s">
        <v>18</v>
      </c>
      <c r="W13" s="11" t="s">
        <v>19</v>
      </c>
      <c r="X13" s="11" t="s">
        <v>20</v>
      </c>
      <c r="Y13" s="11" t="s">
        <v>21</v>
      </c>
      <c r="Z13" s="11" t="s">
        <v>22</v>
      </c>
    </row>
    <row r="14" spans="1:26" ht="12.75">
      <c r="A14" s="8" t="s">
        <v>26</v>
      </c>
      <c r="B14" s="7"/>
      <c r="C14" s="7"/>
      <c r="D14" s="12">
        <v>-2.499999999999999</v>
      </c>
      <c r="E14" s="6">
        <v>0.006209665325776048</v>
      </c>
      <c r="F14" s="6">
        <v>0.006387154764943448</v>
      </c>
      <c r="G14" s="6">
        <v>0.006569119135546697</v>
      </c>
      <c r="H14" s="6">
        <v>0.0067556526071406164</v>
      </c>
      <c r="I14" s="6">
        <v>0.006946850788624115</v>
      </c>
      <c r="J14" s="6">
        <v>0.007142810735271454</v>
      </c>
      <c r="K14" s="6">
        <v>0.007343630955348179</v>
      </c>
      <c r="L14" s="6">
        <v>0.007549411416309049</v>
      </c>
      <c r="M14" s="6">
        <v>0.007760253550553653</v>
      </c>
      <c r="N14" s="6">
        <v>0.007976260260733614</v>
      </c>
      <c r="P14" s="12">
        <v>0.9999999999999999</v>
      </c>
      <c r="Q14" s="6">
        <v>0.8413447460685429</v>
      </c>
      <c r="R14" s="6">
        <v>0.8437523549787453</v>
      </c>
      <c r="S14" s="6">
        <v>0.8461357696272651</v>
      </c>
      <c r="T14" s="6">
        <v>0.8484949972116562</v>
      </c>
      <c r="U14" s="6">
        <v>0.8508300496690184</v>
      </c>
      <c r="V14" s="6">
        <v>0.853140943624104</v>
      </c>
      <c r="W14" s="6">
        <v>0.8554277003360904</v>
      </c>
      <c r="X14" s="6">
        <v>0.8576903456440607</v>
      </c>
      <c r="Y14" s="6">
        <v>0.8599289099112308</v>
      </c>
      <c r="Z14" s="6">
        <v>0.8621434279679644</v>
      </c>
    </row>
    <row r="15" spans="1:26" ht="12.75">
      <c r="A15" s="7"/>
      <c r="B15" s="7"/>
      <c r="C15" s="7"/>
      <c r="D15" s="12">
        <v>-2.399999999999999</v>
      </c>
      <c r="E15" s="6">
        <v>0.008197535924596044</v>
      </c>
      <c r="F15" s="6">
        <v>0.008424186399345612</v>
      </c>
      <c r="G15" s="6">
        <v>0.008656319025516668</v>
      </c>
      <c r="H15" s="6">
        <v>0.008894042630336774</v>
      </c>
      <c r="I15" s="6">
        <v>0.009137467530572652</v>
      </c>
      <c r="J15" s="6">
        <v>0.009386705534838558</v>
      </c>
      <c r="K15" s="6">
        <v>0.009641869945358428</v>
      </c>
      <c r="L15" s="6">
        <v>0.009903075559164254</v>
      </c>
      <c r="M15" s="6">
        <v>0.010170438668719695</v>
      </c>
      <c r="N15" s="6">
        <v>0.010444077061951162</v>
      </c>
      <c r="P15" s="12">
        <v>1.0999999999999999</v>
      </c>
      <c r="Q15" s="6">
        <v>0.8643339390536173</v>
      </c>
      <c r="R15" s="6">
        <v>0.8665004867572528</v>
      </c>
      <c r="S15" s="6">
        <v>0.8686431189572694</v>
      </c>
      <c r="T15" s="6">
        <v>0.8707618877599823</v>
      </c>
      <c r="U15" s="6">
        <v>0.8728568494372018</v>
      </c>
      <c r="V15" s="6">
        <v>0.8749280643628496</v>
      </c>
      <c r="W15" s="6">
        <v>0.8769755969486566</v>
      </c>
      <c r="X15" s="6">
        <v>0.8789995155789817</v>
      </c>
      <c r="Y15" s="6">
        <v>0.8809998925447993</v>
      </c>
      <c r="Z15" s="6">
        <v>0.8829768039768913</v>
      </c>
    </row>
    <row r="16" spans="1:26" ht="12.75">
      <c r="A16" s="7"/>
      <c r="B16" s="7"/>
      <c r="C16" s="7"/>
      <c r="D16" s="12">
        <v>-2.299999999999999</v>
      </c>
      <c r="E16" s="6">
        <v>0.010724110021675948</v>
      </c>
      <c r="F16" s="6">
        <v>0.011010658324411615</v>
      </c>
      <c r="G16" s="6">
        <v>0.011303844238552907</v>
      </c>
      <c r="H16" s="6">
        <v>0.011603791521903606</v>
      </c>
      <c r="I16" s="6">
        <v>0.011910625418547038</v>
      </c>
      <c r="J16" s="6">
        <v>0.012224472655044782</v>
      </c>
      <c r="K16" s="6">
        <v>0.012545461435946592</v>
      </c>
      <c r="L16" s="6">
        <v>0.012873721438601882</v>
      </c>
      <c r="M16" s="6">
        <v>0.013209383807256225</v>
      </c>
      <c r="N16" s="6">
        <v>0.013552581146419995</v>
      </c>
      <c r="P16" s="12">
        <v>1.2</v>
      </c>
      <c r="Q16" s="6">
        <v>0.8849303297782918</v>
      </c>
      <c r="R16" s="6">
        <v>0.8868605535560228</v>
      </c>
      <c r="S16" s="6">
        <v>0.8887675625521652</v>
      </c>
      <c r="T16" s="6">
        <v>0.8906514475743081</v>
      </c>
      <c r="U16" s="6">
        <v>0.8925123029254132</v>
      </c>
      <c r="V16" s="6">
        <v>0.8943502263331446</v>
      </c>
      <c r="W16" s="6">
        <v>0.8961653188786995</v>
      </c>
      <c r="X16" s="6">
        <v>0.8979576849251809</v>
      </c>
      <c r="Y16" s="6">
        <v>0.8997274320455579</v>
      </c>
      <c r="Z16" s="6">
        <v>0.9014746709502521</v>
      </c>
    </row>
    <row r="17" spans="1:26" ht="12.75">
      <c r="A17" s="7"/>
      <c r="B17" s="7"/>
      <c r="C17" s="7"/>
      <c r="D17" s="12">
        <v>-2.199999999999999</v>
      </c>
      <c r="E17" s="6">
        <v>0.013903447513498701</v>
      </c>
      <c r="F17" s="6">
        <v>0.014262118410668823</v>
      </c>
      <c r="G17" s="6">
        <v>0.01462873077598914</v>
      </c>
      <c r="H17" s="6">
        <v>0.015003422973732361</v>
      </c>
      <c r="I17" s="6">
        <v>0.015386334783925593</v>
      </c>
      <c r="J17" s="6">
        <v>0.015777607391090465</v>
      </c>
      <c r="K17" s="6">
        <v>0.01617738337216612</v>
      </c>
      <c r="L17" s="6">
        <v>0.016585806683605098</v>
      </c>
      <c r="M17" s="6">
        <v>0.01700302264763287</v>
      </c>
      <c r="N17" s="6">
        <v>0.01742917793765708</v>
      </c>
      <c r="P17" s="12">
        <v>1.3</v>
      </c>
      <c r="Q17" s="6">
        <v>0.9031995154143897</v>
      </c>
      <c r="R17" s="6">
        <v>0.904902082204761</v>
      </c>
      <c r="S17" s="6">
        <v>0.9065824910065281</v>
      </c>
      <c r="T17" s="6">
        <v>0.9082408643497192</v>
      </c>
      <c r="U17" s="6">
        <v>0.9098773275355475</v>
      </c>
      <c r="V17" s="6">
        <v>0.911492008562598</v>
      </c>
      <c r="W17" s="6">
        <v>0.913085038052915</v>
      </c>
      <c r="X17" s="6">
        <v>0.914656549178033</v>
      </c>
      <c r="Y17" s="6">
        <v>0.9162066775849859</v>
      </c>
      <c r="Z17" s="6">
        <v>0.917735561322331</v>
      </c>
    </row>
    <row r="18" spans="1:26" ht="12.75">
      <c r="A18" s="7"/>
      <c r="B18" s="7"/>
      <c r="C18" s="7"/>
      <c r="D18" s="12">
        <v>-2.0999999999999988</v>
      </c>
      <c r="E18" s="6">
        <v>0.017864420562816452</v>
      </c>
      <c r="F18" s="6">
        <v>0.018308899851658955</v>
      </c>
      <c r="G18" s="6">
        <v>0.018762766434937905</v>
      </c>
      <c r="H18" s="6">
        <v>0.019226172227517435</v>
      </c>
      <c r="I18" s="6">
        <v>0.019699270409377023</v>
      </c>
      <c r="J18" s="6">
        <v>0.02018221540570453</v>
      </c>
      <c r="K18" s="6">
        <v>0.020675162866070185</v>
      </c>
      <c r="L18" s="6">
        <v>0.02117826964267233</v>
      </c>
      <c r="M18" s="6">
        <v>0.021691693767647013</v>
      </c>
      <c r="N18" s="6">
        <v>0.022215594429431662</v>
      </c>
      <c r="P18" s="12">
        <v>1.4000000000000001</v>
      </c>
      <c r="Q18" s="6">
        <v>0.9192433407662289</v>
      </c>
      <c r="R18" s="6">
        <v>0.9207301585466074</v>
      </c>
      <c r="S18" s="6">
        <v>0.9221961594734536</v>
      </c>
      <c r="T18" s="6">
        <v>0.923641490463261</v>
      </c>
      <c r="U18" s="6">
        <v>0.925066300465673</v>
      </c>
      <c r="V18" s="6">
        <v>0.9264707403903516</v>
      </c>
      <c r="W18" s="6">
        <v>0.9278549630341062</v>
      </c>
      <c r="X18" s="6">
        <v>0.9292191230083144</v>
      </c>
      <c r="Y18" s="6">
        <v>0.9305633766666682</v>
      </c>
      <c r="Z18" s="6">
        <v>0.9318878820332746</v>
      </c>
    </row>
    <row r="19" spans="1:26" ht="12.75" customHeight="1" thickBot="1">
      <c r="A19" s="7"/>
      <c r="B19" s="7"/>
      <c r="C19" s="7"/>
      <c r="D19" s="11" t="s">
        <v>9</v>
      </c>
      <c r="E19" s="11" t="s">
        <v>13</v>
      </c>
      <c r="F19" s="11" t="s">
        <v>14</v>
      </c>
      <c r="G19" s="11" t="s">
        <v>15</v>
      </c>
      <c r="H19" s="11" t="s">
        <v>16</v>
      </c>
      <c r="I19" s="11" t="s">
        <v>17</v>
      </c>
      <c r="J19" s="11" t="s">
        <v>18</v>
      </c>
      <c r="K19" s="11" t="s">
        <v>19</v>
      </c>
      <c r="L19" s="11" t="s">
        <v>20</v>
      </c>
      <c r="M19" s="11" t="s">
        <v>21</v>
      </c>
      <c r="N19" s="11" t="s">
        <v>22</v>
      </c>
      <c r="P19" s="12">
        <v>1.5000000000000002</v>
      </c>
      <c r="Q19" s="6">
        <v>0.9331927987311419</v>
      </c>
      <c r="R19" s="6">
        <v>0.9344782879110834</v>
      </c>
      <c r="S19" s="6">
        <v>0.9357445121810641</v>
      </c>
      <c r="T19" s="6">
        <v>0.9369916355360215</v>
      </c>
      <c r="U19" s="6">
        <v>0.9382198232881882</v>
      </c>
      <c r="V19" s="6">
        <v>0.9394292419979411</v>
      </c>
      <c r="W19" s="6">
        <v>0.940620059405207</v>
      </c>
      <c r="X19" s="6">
        <v>0.941792444361447</v>
      </c>
      <c r="Y19" s="6">
        <v>0.9429465667622459</v>
      </c>
      <c r="Z19" s="6">
        <v>0.9440825974805305</v>
      </c>
    </row>
    <row r="20" spans="1:26" ht="12.75">
      <c r="A20" s="7"/>
      <c r="B20" s="7"/>
      <c r="C20" s="7"/>
      <c r="D20" s="12">
        <v>-1.9999999999999987</v>
      </c>
      <c r="E20" s="6">
        <v>0.02275013194817932</v>
      </c>
      <c r="F20" s="6">
        <v>0.023295467750211962</v>
      </c>
      <c r="G20" s="6">
        <v>0.023851764341508708</v>
      </c>
      <c r="H20" s="6">
        <v>0.024419185280222466</v>
      </c>
      <c r="I20" s="6">
        <v>0.024997895148220595</v>
      </c>
      <c r="J20" s="6">
        <v>0.025588059521638673</v>
      </c>
      <c r="K20" s="6">
        <v>0.026189844940452733</v>
      </c>
      <c r="L20" s="6">
        <v>0.026803418877054952</v>
      </c>
      <c r="M20" s="6">
        <v>0.027428949703836913</v>
      </c>
      <c r="N20" s="6">
        <v>0.028066606659772675</v>
      </c>
      <c r="P20" s="12">
        <v>1.6000000000000003</v>
      </c>
      <c r="Q20" s="6">
        <v>0.9452007083004421</v>
      </c>
      <c r="R20" s="6">
        <v>0.9463010718518803</v>
      </c>
      <c r="S20" s="6">
        <v>0.9473838615457479</v>
      </c>
      <c r="T20" s="6">
        <v>0.9484492515099106</v>
      </c>
      <c r="U20" s="6">
        <v>0.949497416525896</v>
      </c>
      <c r="V20" s="6">
        <v>0.9505285319663519</v>
      </c>
      <c r="W20" s="6">
        <v>0.9515427737332772</v>
      </c>
      <c r="X20" s="6">
        <v>0.9525403181970526</v>
      </c>
      <c r="Y20" s="6">
        <v>0.9535213421362799</v>
      </c>
      <c r="Z20" s="6">
        <v>0.9544860226784502</v>
      </c>
    </row>
    <row r="21" spans="1:26" ht="12.75">
      <c r="A21" s="7"/>
      <c r="B21" s="7"/>
      <c r="C21" s="7"/>
      <c r="D21" s="12">
        <v>-1.8999999999999986</v>
      </c>
      <c r="E21" s="6">
        <v>0.028716559816002074</v>
      </c>
      <c r="F21" s="6">
        <v>0.029378980040409397</v>
      </c>
      <c r="G21" s="6">
        <v>0.03005403896120007</v>
      </c>
      <c r="H21" s="6">
        <v>0.030741908929466044</v>
      </c>
      <c r="I21" s="6">
        <v>0.03144276298075277</v>
      </c>
      <c r="J21" s="6">
        <v>0.03215677479561374</v>
      </c>
      <c r="K21" s="6">
        <v>0.03288411865916396</v>
      </c>
      <c r="L21" s="6">
        <v>0.03362496941962845</v>
      </c>
      <c r="M21" s="6">
        <v>0.03437950244588994</v>
      </c>
      <c r="N21" s="6">
        <v>0.035147893584038914</v>
      </c>
      <c r="P21" s="12">
        <v>1.7000000000000004</v>
      </c>
      <c r="Q21" s="6">
        <v>0.955434537241457</v>
      </c>
      <c r="R21" s="6">
        <v>0.956367063475968</v>
      </c>
      <c r="S21" s="6">
        <v>0.9572837792086712</v>
      </c>
      <c r="T21" s="6">
        <v>0.958184862386405</v>
      </c>
      <c r="U21" s="6">
        <v>0.9590704910211927</v>
      </c>
      <c r="V21" s="6">
        <v>0.959940843136183</v>
      </c>
      <c r="W21" s="6">
        <v>0.9607960967125173</v>
      </c>
      <c r="X21" s="6">
        <v>0.9616364296371287</v>
      </c>
      <c r="Y21" s="6">
        <v>0.962462019651483</v>
      </c>
      <c r="Z21" s="6">
        <v>0.9632730443012738</v>
      </c>
    </row>
    <row r="22" spans="1:26" ht="12.75">
      <c r="A22" s="7"/>
      <c r="B22" s="7"/>
      <c r="C22" s="7"/>
      <c r="D22" s="12">
        <v>-1.7999999999999985</v>
      </c>
      <c r="E22" s="6">
        <v>0.03593031911292599</v>
      </c>
      <c r="F22" s="6">
        <v>0.036726955698726416</v>
      </c>
      <c r="G22" s="6">
        <v>0.037537980348516964</v>
      </c>
      <c r="H22" s="6">
        <v>0.038363570362871524</v>
      </c>
      <c r="I22" s="6">
        <v>0.03920390328748291</v>
      </c>
      <c r="J22" s="6">
        <v>0.040059156863817225</v>
      </c>
      <c r="K22" s="6">
        <v>0.04092950897880754</v>
      </c>
      <c r="L22" s="6">
        <v>0.04181513761359512</v>
      </c>
      <c r="M22" s="6">
        <v>0.042716220791328974</v>
      </c>
      <c r="N22" s="6">
        <v>0.04363293652403222</v>
      </c>
      <c r="P22" s="12">
        <v>1.8000000000000005</v>
      </c>
      <c r="Q22" s="6">
        <v>0.9640696808870742</v>
      </c>
      <c r="R22" s="6">
        <v>0.9648521064159614</v>
      </c>
      <c r="S22" s="6">
        <v>0.9656204975541101</v>
      </c>
      <c r="T22" s="6">
        <v>0.9663750305803718</v>
      </c>
      <c r="U22" s="6">
        <v>0.9671158813408363</v>
      </c>
      <c r="V22" s="6">
        <v>0.9678432252043865</v>
      </c>
      <c r="W22" s="6">
        <v>0.9685572370192472</v>
      </c>
      <c r="X22" s="6">
        <v>0.9692580910705341</v>
      </c>
      <c r="Y22" s="6">
        <v>0.9699459610388003</v>
      </c>
      <c r="Z22" s="6">
        <v>0.9706210199595907</v>
      </c>
    </row>
    <row r="23" spans="1:26" ht="12.75">
      <c r="A23" s="7"/>
      <c r="B23" s="7"/>
      <c r="C23" s="7"/>
      <c r="D23" s="12">
        <v>-1.6999999999999984</v>
      </c>
      <c r="E23" s="6">
        <v>0.04456546275854323</v>
      </c>
      <c r="F23" s="6">
        <v>0.04551397732155005</v>
      </c>
      <c r="G23" s="6">
        <v>0.04647865786372041</v>
      </c>
      <c r="H23" s="6">
        <v>0.04745968180294746</v>
      </c>
      <c r="I23" s="6">
        <v>0.048457226266722886</v>
      </c>
      <c r="J23" s="6">
        <v>0.049471468033648214</v>
      </c>
      <c r="K23" s="6">
        <v>0.05050258347410408</v>
      </c>
      <c r="L23" s="6">
        <v>0.05155074849008956</v>
      </c>
      <c r="M23" s="6">
        <v>0.05261613845425217</v>
      </c>
      <c r="N23" s="6">
        <v>0.05369892814811994</v>
      </c>
      <c r="P23" s="12">
        <v>1.9000000000000006</v>
      </c>
      <c r="Q23" s="6">
        <v>0.971283440183998</v>
      </c>
      <c r="R23" s="6">
        <v>0.9719333933402274</v>
      </c>
      <c r="S23" s="6">
        <v>0.9725710502961633</v>
      </c>
      <c r="T23" s="6">
        <v>0.9731965811229449</v>
      </c>
      <c r="U23" s="6">
        <v>0.9738101550595473</v>
      </c>
      <c r="V23" s="6">
        <v>0.9744119404783613</v>
      </c>
      <c r="W23" s="6">
        <v>0.9750021048517796</v>
      </c>
      <c r="X23" s="6">
        <v>0.9755808147197778</v>
      </c>
      <c r="Y23" s="6">
        <v>0.9761482356584915</v>
      </c>
      <c r="Z23" s="6">
        <v>0.9767045322497883</v>
      </c>
    </row>
    <row r="24" spans="1:26" ht="13.5" thickBot="1">
      <c r="A24" s="7"/>
      <c r="B24" s="7"/>
      <c r="C24" s="7"/>
      <c r="D24" s="12">
        <v>-1.5999999999999983</v>
      </c>
      <c r="E24" s="6">
        <v>0.054799291699558106</v>
      </c>
      <c r="F24" s="6">
        <v>0.05591740251946975</v>
      </c>
      <c r="G24" s="6">
        <v>0.05705343323775458</v>
      </c>
      <c r="H24" s="6">
        <v>0.05820755563855329</v>
      </c>
      <c r="I24" s="6">
        <v>0.059379940594793235</v>
      </c>
      <c r="J24" s="6">
        <v>0.06057075800205913</v>
      </c>
      <c r="K24" s="6">
        <v>0.06178017671181213</v>
      </c>
      <c r="L24" s="6">
        <v>0.06300836446397873</v>
      </c>
      <c r="M24" s="6">
        <v>0.06425548781893609</v>
      </c>
      <c r="N24" s="6">
        <v>0.06552171208891677</v>
      </c>
      <c r="P24" s="11" t="s">
        <v>9</v>
      </c>
      <c r="Q24" s="11" t="s">
        <v>13</v>
      </c>
      <c r="R24" s="11" t="s">
        <v>14</v>
      </c>
      <c r="S24" s="11" t="s">
        <v>15</v>
      </c>
      <c r="T24" s="11" t="s">
        <v>16</v>
      </c>
      <c r="U24" s="11" t="s">
        <v>17</v>
      </c>
      <c r="V24" s="11" t="s">
        <v>18</v>
      </c>
      <c r="W24" s="11" t="s">
        <v>19</v>
      </c>
      <c r="X24" s="11" t="s">
        <v>20</v>
      </c>
      <c r="Y24" s="11" t="s">
        <v>21</v>
      </c>
      <c r="Z24" s="11" t="s">
        <v>22</v>
      </c>
    </row>
    <row r="25" spans="1:26" ht="12.75">
      <c r="A25" s="7"/>
      <c r="B25" s="7"/>
      <c r="C25" s="7"/>
      <c r="D25" s="12">
        <v>-1.4999999999999982</v>
      </c>
      <c r="E25" s="6">
        <v>0.06680720126885831</v>
      </c>
      <c r="F25" s="6">
        <v>0.06811211796672567</v>
      </c>
      <c r="G25" s="6">
        <v>0.069436623333332</v>
      </c>
      <c r="H25" s="6">
        <v>0.07078087699168578</v>
      </c>
      <c r="I25" s="6">
        <v>0.07214503696589414</v>
      </c>
      <c r="J25" s="6">
        <v>0.07352925960964862</v>
      </c>
      <c r="K25" s="6">
        <v>0.07493369953432738</v>
      </c>
      <c r="L25" s="6">
        <v>0.0763585095367394</v>
      </c>
      <c r="M25" s="6">
        <v>0.07780384052654665</v>
      </c>
      <c r="N25" s="6">
        <v>0.07926984145339278</v>
      </c>
      <c r="P25" s="12">
        <v>2.0000000000000004</v>
      </c>
      <c r="Q25" s="6">
        <v>0.9772498680518207</v>
      </c>
      <c r="R25" s="6">
        <v>0.9777844055705684</v>
      </c>
      <c r="S25" s="6">
        <v>0.9783083062323531</v>
      </c>
      <c r="T25" s="6">
        <v>0.9788217303573277</v>
      </c>
      <c r="U25" s="6">
        <v>0.97932483713393</v>
      </c>
      <c r="V25" s="6">
        <v>0.9798177845942956</v>
      </c>
      <c r="W25" s="6">
        <v>0.9803007295906233</v>
      </c>
      <c r="X25" s="6">
        <v>0.9807738277724827</v>
      </c>
      <c r="Y25" s="6">
        <v>0.9812372335650621</v>
      </c>
      <c r="Z25" s="6">
        <v>0.981691100148341</v>
      </c>
    </row>
    <row r="26" spans="1:26" ht="12.75">
      <c r="A26" s="7"/>
      <c r="B26" s="7"/>
      <c r="C26" s="7"/>
      <c r="D26" s="12">
        <v>-1.3999999999999981</v>
      </c>
      <c r="E26" s="6">
        <v>0.08075665923377129</v>
      </c>
      <c r="F26" s="6">
        <v>0.0822644386776692</v>
      </c>
      <c r="G26" s="6">
        <v>0.08379332241501436</v>
      </c>
      <c r="H26" s="6">
        <v>0.08534345082196737</v>
      </c>
      <c r="I26" s="6">
        <v>0.08691496194708537</v>
      </c>
      <c r="J26" s="6">
        <v>0.08850799143740229</v>
      </c>
      <c r="K26" s="6">
        <v>0.09012267246445282</v>
      </c>
      <c r="L26" s="6">
        <v>0.09175913565028115</v>
      </c>
      <c r="M26" s="6">
        <v>0.09341750899347212</v>
      </c>
      <c r="N26" s="6">
        <v>0.09509791779523935</v>
      </c>
      <c r="P26" s="12">
        <v>2.1000000000000005</v>
      </c>
      <c r="Q26" s="6">
        <v>0.9821355794371835</v>
      </c>
      <c r="R26" s="6">
        <v>0.982570822062343</v>
      </c>
      <c r="S26" s="6">
        <v>0.9829969773523671</v>
      </c>
      <c r="T26" s="6">
        <v>0.9834141933163949</v>
      </c>
      <c r="U26" s="6">
        <v>0.983822616627834</v>
      </c>
      <c r="V26" s="6">
        <v>0.9842223926089095</v>
      </c>
      <c r="W26" s="6">
        <v>0.9846136652160744</v>
      </c>
      <c r="X26" s="6">
        <v>0.9849965770262676</v>
      </c>
      <c r="Y26" s="6">
        <v>0.9853712692240109</v>
      </c>
      <c r="Z26" s="6">
        <v>0.9857378815893312</v>
      </c>
    </row>
    <row r="27" spans="1:26" ht="12.75">
      <c r="A27" s="7"/>
      <c r="B27" s="7"/>
      <c r="C27" s="7"/>
      <c r="D27" s="12">
        <v>-1.299999999999998</v>
      </c>
      <c r="E27" s="6">
        <v>0.09680048458561064</v>
      </c>
      <c r="F27" s="6">
        <v>0.09852532904974831</v>
      </c>
      <c r="G27" s="6">
        <v>0.1002725679544425</v>
      </c>
      <c r="H27" s="6">
        <v>0.10204231507481953</v>
      </c>
      <c r="I27" s="6">
        <v>0.1038346811213009</v>
      </c>
      <c r="J27" s="6">
        <v>0.10564977366685568</v>
      </c>
      <c r="K27" s="6">
        <v>0.10748769707458727</v>
      </c>
      <c r="L27" s="6">
        <v>0.1093485524256923</v>
      </c>
      <c r="M27" s="6">
        <v>0.11123243744783506</v>
      </c>
      <c r="N27" s="6">
        <v>0.11313944644397766</v>
      </c>
      <c r="P27" s="12">
        <v>2.2000000000000006</v>
      </c>
      <c r="Q27" s="6">
        <v>0.9860965524865013</v>
      </c>
      <c r="R27" s="6">
        <v>0.9864474188535801</v>
      </c>
      <c r="S27" s="6">
        <v>0.986790616192744</v>
      </c>
      <c r="T27" s="6">
        <v>0.9871262785613979</v>
      </c>
      <c r="U27" s="6">
        <v>0.9874545385640535</v>
      </c>
      <c r="V27" s="6">
        <v>0.9877755273449556</v>
      </c>
      <c r="W27" s="6">
        <v>0.988089374581453</v>
      </c>
      <c r="X27" s="6">
        <v>0.9883962084780964</v>
      </c>
      <c r="Y27" s="6">
        <v>0.9886961557614471</v>
      </c>
      <c r="Z27" s="6">
        <v>0.9889893416755885</v>
      </c>
    </row>
    <row r="28" spans="1:26" ht="12.75">
      <c r="A28" s="7"/>
      <c r="B28" s="7"/>
      <c r="C28" s="7"/>
      <c r="D28" s="12">
        <v>-1.199999999999998</v>
      </c>
      <c r="E28" s="6">
        <v>0.11506967022170866</v>
      </c>
      <c r="F28" s="6">
        <v>0.11702319602310918</v>
      </c>
      <c r="G28" s="6">
        <v>0.11900010745520118</v>
      </c>
      <c r="H28" s="6">
        <v>0.12100048442101863</v>
      </c>
      <c r="I28" s="6">
        <v>0.12302440305134388</v>
      </c>
      <c r="J28" s="6">
        <v>0.1250719356371507</v>
      </c>
      <c r="K28" s="6">
        <v>0.12714315056279868</v>
      </c>
      <c r="L28" s="6">
        <v>0.12923811224001824</v>
      </c>
      <c r="M28" s="6">
        <v>0.13135688104273113</v>
      </c>
      <c r="N28" s="6">
        <v>0.13349951324274767</v>
      </c>
      <c r="P28" s="12">
        <v>2.3000000000000007</v>
      </c>
      <c r="Q28" s="6">
        <v>0.9892758899783238</v>
      </c>
      <c r="R28" s="6">
        <v>0.989555922938049</v>
      </c>
      <c r="S28" s="6">
        <v>0.9898295613312802</v>
      </c>
      <c r="T28" s="6">
        <v>0.9900969244408357</v>
      </c>
      <c r="U28" s="6">
        <v>0.9903581300546416</v>
      </c>
      <c r="V28" s="6">
        <v>0.9906132944651613</v>
      </c>
      <c r="W28" s="6">
        <v>0.9908625324694273</v>
      </c>
      <c r="X28" s="6">
        <v>0.991105957369663</v>
      </c>
      <c r="Y28" s="6">
        <v>0.9913436809744836</v>
      </c>
      <c r="Z28" s="6">
        <v>0.9915758136006545</v>
      </c>
    </row>
    <row r="29" spans="1:26" ht="12.75">
      <c r="A29" s="7"/>
      <c r="B29" s="7"/>
      <c r="C29" s="7"/>
      <c r="D29" s="12">
        <v>-1.0999999999999979</v>
      </c>
      <c r="E29" s="6">
        <v>0.13566606094638312</v>
      </c>
      <c r="F29" s="6">
        <v>0.13785657203203594</v>
      </c>
      <c r="G29" s="6">
        <v>0.1400710900887696</v>
      </c>
      <c r="H29" s="6">
        <v>0.1423096543559399</v>
      </c>
      <c r="I29" s="6">
        <v>0.14457229966391016</v>
      </c>
      <c r="J29" s="6">
        <v>0.14685905637589647</v>
      </c>
      <c r="K29" s="6">
        <v>0.14916995033098202</v>
      </c>
      <c r="L29" s="6">
        <v>0.15150500278834422</v>
      </c>
      <c r="M29" s="6">
        <v>0.15386423037273556</v>
      </c>
      <c r="N29" s="6">
        <v>0.1562476450212552</v>
      </c>
      <c r="P29" s="12">
        <v>2.400000000000001</v>
      </c>
      <c r="Q29" s="6">
        <v>0.991802464075404</v>
      </c>
      <c r="R29" s="6">
        <v>0.9920237397392663</v>
      </c>
      <c r="S29" s="6">
        <v>0.9922397464494463</v>
      </c>
      <c r="T29" s="6">
        <v>0.992450588583691</v>
      </c>
      <c r="U29" s="6">
        <v>0.9926563690446517</v>
      </c>
      <c r="V29" s="6">
        <v>0.9928571892647285</v>
      </c>
      <c r="W29" s="6">
        <v>0.9930531492113759</v>
      </c>
      <c r="X29" s="6">
        <v>0.9932443473928594</v>
      </c>
      <c r="Y29" s="6">
        <v>0.9934308808644533</v>
      </c>
      <c r="Z29" s="6">
        <v>0.993612845235057</v>
      </c>
    </row>
    <row r="30" spans="1:26" ht="12" customHeight="1" thickBot="1">
      <c r="A30" s="7"/>
      <c r="B30" s="7"/>
      <c r="C30" s="7"/>
      <c r="D30" s="11" t="s">
        <v>9</v>
      </c>
      <c r="E30" s="11" t="s">
        <v>13</v>
      </c>
      <c r="F30" s="11" t="s">
        <v>14</v>
      </c>
      <c r="G30" s="11" t="s">
        <v>15</v>
      </c>
      <c r="H30" s="11" t="s">
        <v>16</v>
      </c>
      <c r="I30" s="11" t="s">
        <v>17</v>
      </c>
      <c r="J30" s="11" t="s">
        <v>18</v>
      </c>
      <c r="K30" s="11" t="s">
        <v>19</v>
      </c>
      <c r="L30" s="11" t="s">
        <v>20</v>
      </c>
      <c r="M30" s="11" t="s">
        <v>21</v>
      </c>
      <c r="N30" s="11" t="s">
        <v>22</v>
      </c>
      <c r="P30" s="12">
        <v>2.500000000000001</v>
      </c>
      <c r="Q30" s="6">
        <v>0.993790334674224</v>
      </c>
      <c r="R30" s="6">
        <v>0.9939634419195874</v>
      </c>
      <c r="S30" s="6">
        <v>0.9941322582846674</v>
      </c>
      <c r="T30" s="6">
        <v>0.9942968736670494</v>
      </c>
      <c r="U30" s="6">
        <v>0.9944573765569176</v>
      </c>
      <c r="V30" s="6">
        <v>0.9946138540459332</v>
      </c>
      <c r="W30" s="6">
        <v>0.9947663918364442</v>
      </c>
      <c r="X30" s="6">
        <v>0.9949150742510089</v>
      </c>
      <c r="Y30" s="6">
        <v>0.9950599842422293</v>
      </c>
      <c r="Z30" s="6">
        <v>0.9952012034028739</v>
      </c>
    </row>
    <row r="31" spans="1:26" ht="12.75">
      <c r="A31" s="7"/>
      <c r="B31" s="7"/>
      <c r="C31" s="7"/>
      <c r="D31" s="12">
        <v>-0.9999999999999979</v>
      </c>
      <c r="E31" s="6">
        <v>0.15865525393145763</v>
      </c>
      <c r="F31" s="6">
        <v>0.16108705951083158</v>
      </c>
      <c r="G31" s="6">
        <v>0.16354305932769309</v>
      </c>
      <c r="H31" s="6">
        <v>0.16602324606353003</v>
      </c>
      <c r="I31" s="6">
        <v>0.16852760746683848</v>
      </c>
      <c r="J31" s="6">
        <v>0.17105612630848244</v>
      </c>
      <c r="K31" s="6">
        <v>0.17360878033862526</v>
      </c>
      <c r="L31" s="6">
        <v>0.1761855422452585</v>
      </c>
      <c r="M31" s="6">
        <v>0.17878637961437227</v>
      </c>
      <c r="N31" s="6">
        <v>0.18141125489179788</v>
      </c>
      <c r="P31" s="12">
        <v>2.600000000000001</v>
      </c>
      <c r="Q31" s="6">
        <v>0.9953388119762813</v>
      </c>
      <c r="R31" s="6">
        <v>0.9954728888670328</v>
      </c>
      <c r="S31" s="6">
        <v>0.9956035116518789</v>
      </c>
      <c r="T31" s="6">
        <v>0.9957307565909106</v>
      </c>
      <c r="U31" s="6">
        <v>0.995854698638964</v>
      </c>
      <c r="V31" s="6">
        <v>0.9959754114572417</v>
      </c>
      <c r="W31" s="6">
        <v>0.9960929674251471</v>
      </c>
      <c r="X31" s="6">
        <v>0.9962074376523145</v>
      </c>
      <c r="Y31" s="6">
        <v>0.996318891990825</v>
      </c>
      <c r="Z31" s="6">
        <v>0.9964273990476005</v>
      </c>
    </row>
    <row r="32" spans="1:26" ht="12.75">
      <c r="A32" s="7"/>
      <c r="B32" s="7"/>
      <c r="C32" s="7"/>
      <c r="D32" s="12">
        <v>-0.8999999999999979</v>
      </c>
      <c r="E32" s="6">
        <v>0.18406012534676008</v>
      </c>
      <c r="F32" s="6">
        <v>0.18673294303717314</v>
      </c>
      <c r="G32" s="6">
        <v>0.1894296547767127</v>
      </c>
      <c r="H32" s="6">
        <v>0.1921502021036967</v>
      </c>
      <c r="I32" s="6">
        <v>0.19489452125180895</v>
      </c>
      <c r="J32" s="6">
        <v>0.19766254312269282</v>
      </c>
      <c r="K32" s="6">
        <v>0.20045419326045022</v>
      </c>
      <c r="L32" s="6">
        <v>0.20326939182806902</v>
      </c>
      <c r="M32" s="6">
        <v>0.20610805358581374</v>
      </c>
      <c r="N32" s="6">
        <v>0.2089700878716022</v>
      </c>
      <c r="P32" s="12">
        <v>2.700000000000001</v>
      </c>
      <c r="Q32" s="6">
        <v>0.9965330261969598</v>
      </c>
      <c r="R32" s="6">
        <v>0.9966358395933308</v>
      </c>
      <c r="S32" s="6">
        <v>0.9967359041841086</v>
      </c>
      <c r="T32" s="6">
        <v>0.9968332837226423</v>
      </c>
      <c r="U32" s="6">
        <v>0.9969280407813494</v>
      </c>
      <c r="V32" s="6">
        <v>0.9970202367649456</v>
      </c>
      <c r="W32" s="6">
        <v>0.9971099319237738</v>
      </c>
      <c r="X32" s="6">
        <v>0.9971971853672349</v>
      </c>
      <c r="Y32" s="6">
        <v>0.9972820550772987</v>
      </c>
      <c r="Z32" s="6">
        <v>0.9973645979220953</v>
      </c>
    </row>
    <row r="33" spans="1:26" ht="12.75">
      <c r="A33" s="7"/>
      <c r="B33" s="7"/>
      <c r="C33" s="7"/>
      <c r="D33" s="12">
        <v>-0.7999999999999979</v>
      </c>
      <c r="E33" s="6">
        <v>0.2118553985833973</v>
      </c>
      <c r="F33" s="6">
        <v>0.21476388416363767</v>
      </c>
      <c r="G33" s="6">
        <v>0.21769543758573384</v>
      </c>
      <c r="H33" s="6">
        <v>0.22064994634265023</v>
      </c>
      <c r="I33" s="6">
        <v>0.22362729243760016</v>
      </c>
      <c r="J33" s="6">
        <v>0.22662735237686893</v>
      </c>
      <c r="K33" s="6">
        <v>0.22964999716479118</v>
      </c>
      <c r="L33" s="6">
        <v>0.23269509230089813</v>
      </c>
      <c r="M33" s="6">
        <v>0.23576249777925185</v>
      </c>
      <c r="N33" s="6">
        <v>0.23885206808998738</v>
      </c>
      <c r="P33" s="12">
        <v>2.800000000000001</v>
      </c>
      <c r="Q33" s="6">
        <v>0.9974448696695721</v>
      </c>
      <c r="R33" s="6">
        <v>0.9975229250012143</v>
      </c>
      <c r="S33" s="6">
        <v>0.9975988175258108</v>
      </c>
      <c r="T33" s="6">
        <v>0.9976725997932685</v>
      </c>
      <c r="U33" s="6">
        <v>0.9977443233084577</v>
      </c>
      <c r="V33" s="6">
        <v>0.9978140385450867</v>
      </c>
      <c r="W33" s="6">
        <v>0.9978817949595952</v>
      </c>
      <c r="X33" s="6">
        <v>0.9979476410050603</v>
      </c>
      <c r="Y33" s="6">
        <v>0.9980116241451056</v>
      </c>
      <c r="Z33" s="6">
        <v>0.9980737908678121</v>
      </c>
    </row>
    <row r="34" spans="1:26" ht="12.75">
      <c r="A34" s="7"/>
      <c r="B34" s="7"/>
      <c r="C34" s="7"/>
      <c r="D34" s="12">
        <v>-0.699999999999998</v>
      </c>
      <c r="E34" s="6">
        <v>0.2419636522230737</v>
      </c>
      <c r="F34" s="6">
        <v>0.2450970936743101</v>
      </c>
      <c r="G34" s="6">
        <v>0.24825223045357125</v>
      </c>
      <c r="H34" s="6">
        <v>0.25142889509531086</v>
      </c>
      <c r="I34" s="6">
        <v>0.2546269146713368</v>
      </c>
      <c r="J34" s="6">
        <v>0.2578461108058654</v>
      </c>
      <c r="K34" s="6">
        <v>0.26108629969286223</v>
      </c>
      <c r="L34" s="6">
        <v>0.2643472921156783</v>
      </c>
      <c r="M34" s="6">
        <v>0.26762889346898366</v>
      </c>
      <c r="N34" s="6">
        <v>0.2709309037830063</v>
      </c>
      <c r="P34" s="12">
        <v>2.9000000000000012</v>
      </c>
      <c r="Q34" s="6">
        <v>0.9981341866996158</v>
      </c>
      <c r="R34" s="6">
        <v>0.9981928562191937</v>
      </c>
      <c r="S34" s="6">
        <v>0.9982498430713242</v>
      </c>
      <c r="T34" s="6">
        <v>0.9983051899807232</v>
      </c>
      <c r="U34" s="6">
        <v>0.9983589387658429</v>
      </c>
      <c r="V34" s="6">
        <v>0.9984111303526348</v>
      </c>
      <c r="W34" s="6">
        <v>0.9984618047882617</v>
      </c>
      <c r="X34" s="6">
        <v>0.9985110012547624</v>
      </c>
      <c r="Y34" s="6">
        <v>0.99855875808266</v>
      </c>
      <c r="Z34" s="6">
        <v>0.9986051127645081</v>
      </c>
    </row>
    <row r="35" spans="1:26" ht="13.5" thickBot="1">
      <c r="A35" s="7"/>
      <c r="B35" s="7"/>
      <c r="C35" s="7"/>
      <c r="D35" s="12">
        <v>-0.599999999999998</v>
      </c>
      <c r="E35" s="6">
        <v>0.2742531177500742</v>
      </c>
      <c r="F35" s="6">
        <v>0.2775953247534657</v>
      </c>
      <c r="G35" s="6">
        <v>0.2809573088985651</v>
      </c>
      <c r="H35" s="6">
        <v>0.2843388490463249</v>
      </c>
      <c r="I35" s="6">
        <v>0.2877397188490277</v>
      </c>
      <c r="J35" s="6">
        <v>0.291159686788347</v>
      </c>
      <c r="K35" s="6">
        <v>0.29459851621569877</v>
      </c>
      <c r="L35" s="6">
        <v>0.2980559653948771</v>
      </c>
      <c r="M35" s="6">
        <v>0.30153178754696686</v>
      </c>
      <c r="N35" s="6">
        <v>0.30502573089752016</v>
      </c>
      <c r="P35" s="11" t="s">
        <v>9</v>
      </c>
      <c r="Q35" s="11" t="s">
        <v>13</v>
      </c>
      <c r="R35" s="11" t="s">
        <v>14</v>
      </c>
      <c r="S35" s="11" t="s">
        <v>15</v>
      </c>
      <c r="T35" s="11" t="s">
        <v>16</v>
      </c>
      <c r="U35" s="11" t="s">
        <v>17</v>
      </c>
      <c r="V35" s="11" t="s">
        <v>18</v>
      </c>
      <c r="W35" s="11" t="s">
        <v>19</v>
      </c>
      <c r="X35" s="11" t="s">
        <v>20</v>
      </c>
      <c r="Y35" s="11" t="s">
        <v>21</v>
      </c>
      <c r="Z35" s="11" t="s">
        <v>22</v>
      </c>
    </row>
    <row r="36" spans="1:26" ht="12.75">
      <c r="A36" s="7"/>
      <c r="B36" s="7"/>
      <c r="C36" s="7"/>
      <c r="D36" s="12">
        <v>-0.499999999999998</v>
      </c>
      <c r="E36" s="6">
        <v>0.30853753872598766</v>
      </c>
      <c r="F36" s="6">
        <v>0.3120669494173913</v>
      </c>
      <c r="G36" s="6">
        <v>0.3156136965162233</v>
      </c>
      <c r="H36" s="6">
        <v>0.3191775087825566</v>
      </c>
      <c r="I36" s="6">
        <v>0.3227581102503485</v>
      </c>
      <c r="J36" s="6">
        <v>0.32635522028792074</v>
      </c>
      <c r="K36" s="6">
        <v>0.3299685536605944</v>
      </c>
      <c r="L36" s="6">
        <v>0.3335978205954584</v>
      </c>
      <c r="M36" s="6">
        <v>0.3372427268482503</v>
      </c>
      <c r="N36" s="6">
        <v>0.34090297377232326</v>
      </c>
      <c r="P36" s="12">
        <v>3.0000000000000013</v>
      </c>
      <c r="Q36" s="6">
        <v>0.9986501019683701</v>
      </c>
      <c r="R36" s="6">
        <v>0.9986937615512305</v>
      </c>
      <c r="S36" s="6">
        <v>0.9987361265723278</v>
      </c>
      <c r="T36" s="6">
        <v>0.9987772313064077</v>
      </c>
      <c r="U36" s="6">
        <v>0.9988171092568956</v>
      </c>
      <c r="V36" s="6">
        <v>0.9988557931689772</v>
      </c>
      <c r="W36" s="6">
        <v>0.9988933150425909</v>
      </c>
      <c r="X36" s="6">
        <v>0.9989297061453213</v>
      </c>
      <c r="Y36" s="6">
        <v>0.9989649970251975</v>
      </c>
      <c r="Z36" s="6">
        <v>0.9989992175233859</v>
      </c>
    </row>
    <row r="37" spans="1:26" ht="12.75">
      <c r="A37" s="7"/>
      <c r="B37" s="7"/>
      <c r="C37" s="7"/>
      <c r="D37" s="12">
        <v>-0.399999999999998</v>
      </c>
      <c r="E37" s="6">
        <v>0.3445782583896766</v>
      </c>
      <c r="F37" s="6">
        <v>0.34826827346401834</v>
      </c>
      <c r="G37" s="6">
        <v>0.351972707575838</v>
      </c>
      <c r="H37" s="6">
        <v>0.35569124519945394</v>
      </c>
      <c r="I37" s="6">
        <v>0.3594235667820095</v>
      </c>
      <c r="J37" s="6">
        <v>0.3631693488243817</v>
      </c>
      <c r="K37" s="6">
        <v>0.3669282639639727</v>
      </c>
      <c r="L37" s="6">
        <v>0.3706999810593472</v>
      </c>
      <c r="M37" s="6">
        <v>0.3744841652766807</v>
      </c>
      <c r="N37" s="6">
        <v>0.3782804781779815</v>
      </c>
      <c r="P37" s="12">
        <v>3.1000000000000014</v>
      </c>
      <c r="Q37" s="6">
        <v>0.9990323967867818</v>
      </c>
      <c r="R37" s="6">
        <v>0.9990645632804858</v>
      </c>
      <c r="S37" s="6">
        <v>0.9990957448001778</v>
      </c>
      <c r="T37" s="6">
        <v>0.9991259684843683</v>
      </c>
      <c r="U37" s="6">
        <v>0.9991552608265417</v>
      </c>
      <c r="V37" s="6">
        <v>0.9991836476871707</v>
      </c>
      <c r="W37" s="6">
        <v>0.9992111543056245</v>
      </c>
      <c r="X37" s="6">
        <v>0.9992378053119325</v>
      </c>
      <c r="Y37" s="6">
        <v>0.999263624738446</v>
      </c>
      <c r="Z37" s="6">
        <v>0.9992886360313552</v>
      </c>
    </row>
    <row r="38" spans="1:26" ht="12.75">
      <c r="A38" s="7"/>
      <c r="B38" s="7"/>
      <c r="C38" s="7"/>
      <c r="D38" s="12">
        <v>-0.29999999999999805</v>
      </c>
      <c r="E38" s="6">
        <v>0.3820885778110481</v>
      </c>
      <c r="F38" s="6">
        <v>0.3859081188011234</v>
      </c>
      <c r="G38" s="6">
        <v>0.38973875244420353</v>
      </c>
      <c r="H38" s="6">
        <v>0.3935801268019612</v>
      </c>
      <c r="I38" s="6">
        <v>0.39743188679824026</v>
      </c>
      <c r="J38" s="6">
        <v>0.4012936743170771</v>
      </c>
      <c r="K38" s="6">
        <v>0.40516512830220486</v>
      </c>
      <c r="L38" s="6">
        <v>0.40904588485799487</v>
      </c>
      <c r="M38" s="6">
        <v>0.4129355773517862</v>
      </c>
      <c r="N38" s="6">
        <v>0.41683383651755845</v>
      </c>
      <c r="P38" s="12">
        <v>3.2000000000000015</v>
      </c>
      <c r="Q38" s="6">
        <v>0.9993128620620841</v>
      </c>
      <c r="R38" s="6">
        <v>0.9993363251385605</v>
      </c>
      <c r="S38" s="6">
        <v>0.9993590470163396</v>
      </c>
      <c r="T38" s="6">
        <v>0.9993810489096135</v>
      </c>
      <c r="U38" s="6">
        <v>0.9994023515020658</v>
      </c>
      <c r="V38" s="6">
        <v>0.9994229749576101</v>
      </c>
      <c r="W38" s="6">
        <v>0.9994429389309754</v>
      </c>
      <c r="X38" s="6">
        <v>0.99946226257817</v>
      </c>
      <c r="Y38" s="6">
        <v>0.9994809645667937</v>
      </c>
      <c r="Z38" s="6">
        <v>0.9994990630862143</v>
      </c>
    </row>
    <row r="39" spans="1:26" ht="12.75">
      <c r="A39" s="7"/>
      <c r="B39" s="7"/>
      <c r="C39" s="7"/>
      <c r="D39" s="12">
        <v>-0.19999999999999804</v>
      </c>
      <c r="E39" s="6">
        <v>0.4207402905608978</v>
      </c>
      <c r="F39" s="6">
        <v>0.4246545652652053</v>
      </c>
      <c r="G39" s="6">
        <v>0.4285762840991001</v>
      </c>
      <c r="H39" s="6">
        <v>0.4325050683249624</v>
      </c>
      <c r="I39" s="6">
        <v>0.4364405371085679</v>
      </c>
      <c r="J39" s="6">
        <v>0.4403823076297583</v>
      </c>
      <c r="K39" s="6">
        <v>0.44432999519409433</v>
      </c>
      <c r="L39" s="6">
        <v>0.44828321334543964</v>
      </c>
      <c r="M39" s="6">
        <v>0.4522415739794169</v>
      </c>
      <c r="N39" s="6">
        <v>0.45620468745768394</v>
      </c>
      <c r="P39" s="12">
        <v>3.3000000000000016</v>
      </c>
      <c r="Q39" s="6">
        <v>0.9995165758576167</v>
      </c>
      <c r="R39" s="6">
        <v>0.9995335201438931</v>
      </c>
      <c r="S39" s="6">
        <v>0.9995499127594081</v>
      </c>
      <c r="T39" s="6">
        <v>0.9995657700796186</v>
      </c>
      <c r="U39" s="6">
        <v>0.999581108050549</v>
      </c>
      <c r="V39" s="6">
        <v>0.9995959421981355</v>
      </c>
      <c r="W39" s="6">
        <v>0.9996102876374177</v>
      </c>
      <c r="X39" s="6">
        <v>0.9996241590816002</v>
      </c>
      <c r="Y39" s="6">
        <v>0.9996375708509669</v>
      </c>
      <c r="Z39" s="6">
        <v>0.9996505368816616</v>
      </c>
    </row>
    <row r="40" spans="1:26" ht="12.75">
      <c r="A40" s="7"/>
      <c r="B40" s="7"/>
      <c r="C40" s="7"/>
      <c r="D40" s="12">
        <v>-0.09999999999999803</v>
      </c>
      <c r="E40" s="6">
        <v>0.4601721627229718</v>
      </c>
      <c r="F40" s="6">
        <v>0.46414360741482863</v>
      </c>
      <c r="G40" s="6">
        <v>0.46811862798601345</v>
      </c>
      <c r="H40" s="6">
        <v>0.47209682981947965</v>
      </c>
      <c r="I40" s="6">
        <v>0.47607781734589394</v>
      </c>
      <c r="J40" s="6">
        <v>0.4800611941616283</v>
      </c>
      <c r="K40" s="6">
        <v>0.48404656314717</v>
      </c>
      <c r="L40" s="6">
        <v>0.48803352658588817</v>
      </c>
      <c r="M40" s="6">
        <v>0.49202168628309884</v>
      </c>
      <c r="N40" s="6">
        <v>0.4960106436853692</v>
      </c>
      <c r="P40" s="12">
        <v>3.4000000000000017</v>
      </c>
      <c r="Q40" s="6">
        <v>0.9996630707343231</v>
      </c>
      <c r="R40" s="6">
        <v>0.9996751856025816</v>
      </c>
      <c r="S40" s="6">
        <v>0.9996868943214197</v>
      </c>
      <c r="T40" s="6">
        <v>0.9996982093753914</v>
      </c>
      <c r="U40" s="6">
        <v>0.9997091429067089</v>
      </c>
      <c r="V40" s="6">
        <v>0.9997197067231842</v>
      </c>
      <c r="W40" s="6">
        <v>0.9997299123060376</v>
      </c>
      <c r="X40" s="6">
        <v>0.9997397708175726</v>
      </c>
      <c r="Y40" s="6">
        <v>0.9997492931087196</v>
      </c>
      <c r="Z40" s="6">
        <v>0.9997584897264333</v>
      </c>
    </row>
    <row r="41" spans="1:26" ht="12" customHeight="1" thickBot="1">
      <c r="A41" s="7"/>
      <c r="B41" s="7"/>
      <c r="C41" s="7"/>
      <c r="D41" s="11" t="s">
        <v>9</v>
      </c>
      <c r="E41" s="11" t="s">
        <v>13</v>
      </c>
      <c r="F41" s="11" t="s">
        <v>14</v>
      </c>
      <c r="G41" s="11" t="s">
        <v>15</v>
      </c>
      <c r="H41" s="11" t="s">
        <v>16</v>
      </c>
      <c r="I41" s="11" t="s">
        <v>17</v>
      </c>
      <c r="J41" s="11" t="s">
        <v>18</v>
      </c>
      <c r="K41" s="11" t="s">
        <v>19</v>
      </c>
      <c r="L41" s="11" t="s">
        <v>20</v>
      </c>
      <c r="M41" s="11" t="s">
        <v>21</v>
      </c>
      <c r="N41" s="11" t="s">
        <v>22</v>
      </c>
      <c r="P41" s="12">
        <v>3.5000000000000018</v>
      </c>
      <c r="Q41" s="6">
        <v>0.9997673709209641</v>
      </c>
      <c r="R41" s="6">
        <v>0.9997759466530091</v>
      </c>
      <c r="S41" s="6">
        <v>0.9997842266007055</v>
      </c>
      <c r="T41" s="6">
        <v>0.9997922201665208</v>
      </c>
      <c r="U41" s="6">
        <v>0.999799936483994</v>
      </c>
      <c r="V41" s="6">
        <v>0.999807384424365</v>
      </c>
      <c r="W41" s="6">
        <v>0.9998145726030652</v>
      </c>
      <c r="X41" s="6">
        <v>0.9998215093860952</v>
      </c>
      <c r="Y41" s="6">
        <v>0.999828202896254</v>
      </c>
      <c r="Z41" s="6">
        <v>0.9998346610192808</v>
      </c>
    </row>
    <row r="42" spans="1:26" ht="12.75">
      <c r="A42" s="7"/>
      <c r="B42" s="7"/>
      <c r="C42" s="7"/>
      <c r="D42" s="12">
        <v>0</v>
      </c>
      <c r="E42" s="6">
        <v>0.5</v>
      </c>
      <c r="F42" s="6">
        <v>0.5039893563146316</v>
      </c>
      <c r="G42" s="6">
        <v>0.5079783137169019</v>
      </c>
      <c r="H42" s="6">
        <v>0.5119664734141126</v>
      </c>
      <c r="I42" s="6">
        <v>0.5159534368528308</v>
      </c>
      <c r="J42" s="6">
        <v>0.5199388058383725</v>
      </c>
      <c r="K42" s="6">
        <v>0.5239221826541068</v>
      </c>
      <c r="L42" s="6">
        <v>0.5279031701805211</v>
      </c>
      <c r="M42" s="6">
        <v>0.5318813720139873</v>
      </c>
      <c r="N42" s="6">
        <v>0.5358563925851721</v>
      </c>
      <c r="P42" s="12">
        <v>3.600000000000002</v>
      </c>
      <c r="Q42" s="6">
        <v>0.999840891409842</v>
      </c>
      <c r="R42" s="6">
        <v>0.9998469014974267</v>
      </c>
      <c r="S42" s="6">
        <v>0.9998526984920927</v>
      </c>
      <c r="T42" s="6">
        <v>0.9998582893901249</v>
      </c>
      <c r="U42" s="6">
        <v>0.9998636809795542</v>
      </c>
      <c r="V42" s="6">
        <v>0.9998688798455808</v>
      </c>
      <c r="W42" s="6">
        <v>0.9998738923758592</v>
      </c>
      <c r="X42" s="6">
        <v>0.9998787247657144</v>
      </c>
      <c r="Y42" s="6">
        <v>0.999883383023184</v>
      </c>
      <c r="Z42" s="6">
        <v>0.9998878729740189</v>
      </c>
    </row>
    <row r="43" spans="1:26" ht="12.75">
      <c r="A43" s="7"/>
      <c r="B43" s="7"/>
      <c r="C43" s="7"/>
      <c r="D43" s="12">
        <v>0.1</v>
      </c>
      <c r="E43" s="6">
        <v>0.539827837277029</v>
      </c>
      <c r="F43" s="6">
        <v>0.5437953125423168</v>
      </c>
      <c r="G43" s="6">
        <v>0.5477584260205839</v>
      </c>
      <c r="H43" s="6">
        <v>0.5517167866545611</v>
      </c>
      <c r="I43" s="6">
        <v>0.5556700048059064</v>
      </c>
      <c r="J43" s="6">
        <v>0.5596176923702425</v>
      </c>
      <c r="K43" s="6">
        <v>0.5635594628914329</v>
      </c>
      <c r="L43" s="6">
        <v>0.5674949316750384</v>
      </c>
      <c r="M43" s="6">
        <v>0.5714237159009007</v>
      </c>
      <c r="N43" s="6">
        <v>0.5753454347347955</v>
      </c>
      <c r="P43" s="12">
        <v>3.700000000000002</v>
      </c>
      <c r="Q43" s="6">
        <v>0.999892200266522</v>
      </c>
      <c r="R43" s="6">
        <v>0.9998963703763242</v>
      </c>
      <c r="S43" s="6">
        <v>0.9999003886110253</v>
      </c>
      <c r="T43" s="6">
        <v>0.999904260114733</v>
      </c>
      <c r="U43" s="6">
        <v>0.9999079898725252</v>
      </c>
      <c r="V43" s="6">
        <v>0.9999115827148002</v>
      </c>
      <c r="W43" s="6">
        <v>0.9999150433215042</v>
      </c>
      <c r="X43" s="6">
        <v>0.999918376226299</v>
      </c>
      <c r="Y43" s="6">
        <v>0.9999215858206165</v>
      </c>
      <c r="Z43" s="6">
        <v>0.999924676357622</v>
      </c>
    </row>
    <row r="44" spans="1:26" ht="12.75">
      <c r="A44" s="7"/>
      <c r="B44" s="7"/>
      <c r="C44" s="7"/>
      <c r="D44" s="12">
        <v>0.2</v>
      </c>
      <c r="E44" s="6">
        <v>0.579259709439103</v>
      </c>
      <c r="F44" s="6">
        <v>0.5831661634824423</v>
      </c>
      <c r="G44" s="6">
        <v>0.5870644226482147</v>
      </c>
      <c r="H44" s="6">
        <v>0.5909541151420059</v>
      </c>
      <c r="I44" s="6">
        <v>0.5948348716977958</v>
      </c>
      <c r="J44" s="6">
        <v>0.5987063256829237</v>
      </c>
      <c r="K44" s="6">
        <v>0.6025681132017605</v>
      </c>
      <c r="L44" s="6">
        <v>0.6064198731980395</v>
      </c>
      <c r="M44" s="6">
        <v>0.6102612475557972</v>
      </c>
      <c r="N44" s="6">
        <v>0.6140918811988774</v>
      </c>
      <c r="P44" s="12">
        <v>3.800000000000002</v>
      </c>
      <c r="Q44" s="6">
        <v>0.9999276519560756</v>
      </c>
      <c r="R44" s="6">
        <v>0.9999305166041177</v>
      </c>
      <c r="S44" s="6">
        <v>0.9999332741629698</v>
      </c>
      <c r="T44" s="6">
        <v>0.9999359283705092</v>
      </c>
      <c r="U44" s="6">
        <v>0.9999384828448187</v>
      </c>
      <c r="V44" s="6">
        <v>0.999940941087582</v>
      </c>
      <c r="W44" s="6">
        <v>0.9999433064874635</v>
      </c>
      <c r="X44" s="6">
        <v>0.9999455823233683</v>
      </c>
      <c r="Y44" s="6">
        <v>0.9999477717675965</v>
      </c>
      <c r="Z44" s="6">
        <v>0.9999498778890042</v>
      </c>
    </row>
    <row r="45" spans="1:26" ht="12.75">
      <c r="A45" s="7"/>
      <c r="B45" s="7"/>
      <c r="C45" s="7"/>
      <c r="D45" s="12">
        <v>0.30000000000000004</v>
      </c>
      <c r="E45" s="6">
        <v>0.6179114221889527</v>
      </c>
      <c r="F45" s="6">
        <v>0.6217195218220193</v>
      </c>
      <c r="G45" s="6">
        <v>0.6255158347233201</v>
      </c>
      <c r="H45" s="6">
        <v>0.6293000189406536</v>
      </c>
      <c r="I45" s="6">
        <v>0.6330717360360281</v>
      </c>
      <c r="J45" s="6">
        <v>0.6368306511756191</v>
      </c>
      <c r="K45" s="6">
        <v>0.6405764332179913</v>
      </c>
      <c r="L45" s="6">
        <v>0.6443087548005468</v>
      </c>
      <c r="M45" s="6">
        <v>0.6480272924241628</v>
      </c>
      <c r="N45" s="6">
        <v>0.6517317265359824</v>
      </c>
      <c r="P45" s="12">
        <v>3.900000000000002</v>
      </c>
      <c r="Q45" s="6">
        <v>0.9999519036559821</v>
      </c>
      <c r="R45" s="6">
        <v>0.9999538519394435</v>
      </c>
      <c r="S45" s="6">
        <v>0.999955725515683</v>
      </c>
      <c r="T45" s="6">
        <v>0.9999575270692137</v>
      </c>
      <c r="U45" s="6">
        <v>0.9999592591954402</v>
      </c>
      <c r="V45" s="6">
        <v>0.9999609244034011</v>
      </c>
      <c r="W45" s="6">
        <v>0.9999625251183089</v>
      </c>
      <c r="X45" s="6">
        <v>0.9999640636840943</v>
      </c>
      <c r="Y45" s="6">
        <v>0.9999655423658864</v>
      </c>
      <c r="Z45" s="6">
        <v>0.999966963352368</v>
      </c>
    </row>
    <row r="46" spans="1:26" ht="13.5" thickBot="1">
      <c r="A46" s="7"/>
      <c r="B46" s="7"/>
      <c r="C46" s="7"/>
      <c r="D46" s="12">
        <v>0.4</v>
      </c>
      <c r="E46" s="6">
        <v>0.6554217416103242</v>
      </c>
      <c r="F46" s="6">
        <v>0.6590970262276774</v>
      </c>
      <c r="G46" s="6">
        <v>0.6627572731517505</v>
      </c>
      <c r="H46" s="6">
        <v>0.6664021794045423</v>
      </c>
      <c r="I46" s="6">
        <v>0.6700314463394064</v>
      </c>
      <c r="J46" s="6">
        <v>0.6736447797120799</v>
      </c>
      <c r="K46" s="6">
        <v>0.6772418897496522</v>
      </c>
      <c r="L46" s="6">
        <v>0.6808224912174442</v>
      </c>
      <c r="M46" s="6">
        <v>0.6843863034837774</v>
      </c>
      <c r="N46" s="6">
        <v>0.6879330505826095</v>
      </c>
      <c r="P46" s="11" t="s">
        <v>9</v>
      </c>
      <c r="Q46" s="11" t="s">
        <v>13</v>
      </c>
      <c r="R46" s="11" t="s">
        <v>14</v>
      </c>
      <c r="S46" s="11" t="s">
        <v>15</v>
      </c>
      <c r="T46" s="11" t="s">
        <v>16</v>
      </c>
      <c r="U46" s="11" t="s">
        <v>17</v>
      </c>
      <c r="V46" s="11" t="s">
        <v>18</v>
      </c>
      <c r="W46" s="11" t="s">
        <v>19</v>
      </c>
      <c r="X46" s="11" t="s">
        <v>20</v>
      </c>
      <c r="Y46" s="11" t="s">
        <v>21</v>
      </c>
      <c r="Z46" s="11" t="s">
        <v>22</v>
      </c>
    </row>
    <row r="47" spans="1:14" ht="12.75">
      <c r="A47" s="7"/>
      <c r="B47" s="7"/>
      <c r="C47" s="7"/>
      <c r="D47" s="12">
        <v>0.5</v>
      </c>
      <c r="E47" s="6">
        <v>0.6914624612740131</v>
      </c>
      <c r="F47" s="6">
        <v>0.6949742691024805</v>
      </c>
      <c r="G47" s="6">
        <v>0.6984682124530338</v>
      </c>
      <c r="H47" s="6">
        <v>0.7019440346051236</v>
      </c>
      <c r="I47" s="6">
        <v>0.7054014837843019</v>
      </c>
      <c r="J47" s="6">
        <v>0.7088403132116536</v>
      </c>
      <c r="K47" s="6">
        <v>0.712260281150973</v>
      </c>
      <c r="L47" s="6">
        <v>0.7156611509536759</v>
      </c>
      <c r="M47" s="6">
        <v>0.7190426911014356</v>
      </c>
      <c r="N47" s="6">
        <v>0.7224046752465351</v>
      </c>
    </row>
    <row r="48" spans="1:14" ht="12.75">
      <c r="A48" s="7"/>
      <c r="B48" s="7"/>
      <c r="C48" s="7"/>
      <c r="D48" s="12">
        <v>0.6</v>
      </c>
      <c r="E48" s="6">
        <v>0.7257468822499263</v>
      </c>
      <c r="F48" s="6">
        <v>0.7290690962169943</v>
      </c>
      <c r="G48" s="6">
        <v>0.732371106531017</v>
      </c>
      <c r="H48" s="6">
        <v>0.7356527078843225</v>
      </c>
      <c r="I48" s="6">
        <v>0.7389137003071384</v>
      </c>
      <c r="J48" s="6">
        <v>0.7421538891941353</v>
      </c>
      <c r="K48" s="6">
        <v>0.7453730853286639</v>
      </c>
      <c r="L48" s="6">
        <v>0.7485711049046899</v>
      </c>
      <c r="M48" s="6">
        <v>0.7517477695464294</v>
      </c>
      <c r="N48" s="6">
        <v>0.7549029063256906</v>
      </c>
    </row>
    <row r="49" spans="1:14" ht="12.75">
      <c r="A49" s="7"/>
      <c r="B49" s="7"/>
      <c r="C49" s="7"/>
      <c r="D49" s="12">
        <v>0.7</v>
      </c>
      <c r="E49" s="6">
        <v>0.758036347776927</v>
      </c>
      <c r="F49" s="6">
        <v>0.7611479319100133</v>
      </c>
      <c r="G49" s="6">
        <v>0.7642375022207488</v>
      </c>
      <c r="H49" s="6">
        <v>0.7673049076991025</v>
      </c>
      <c r="I49" s="6">
        <v>0.7703500028352094</v>
      </c>
      <c r="J49" s="6">
        <v>0.7733726476231317</v>
      </c>
      <c r="K49" s="6">
        <v>0.7763727075624005</v>
      </c>
      <c r="L49" s="6">
        <v>0.7793500536573503</v>
      </c>
      <c r="M49" s="6">
        <v>0.7823045624142668</v>
      </c>
      <c r="N49" s="6">
        <v>0.7852361158363629</v>
      </c>
    </row>
    <row r="50" spans="1:14" ht="12.75">
      <c r="A50" s="7"/>
      <c r="B50" s="7"/>
      <c r="C50" s="7"/>
      <c r="D50" s="12">
        <v>0.7999999999999999</v>
      </c>
      <c r="E50" s="6">
        <v>0.7881446014166031</v>
      </c>
      <c r="F50" s="6">
        <v>0.7910299121283983</v>
      </c>
      <c r="G50" s="6">
        <v>0.7938919464141869</v>
      </c>
      <c r="H50" s="6">
        <v>0.7967306081719315</v>
      </c>
      <c r="I50" s="6">
        <v>0.7995458067395502</v>
      </c>
      <c r="J50" s="6">
        <v>0.8023374568773076</v>
      </c>
      <c r="K50" s="6">
        <v>0.8051054787481915</v>
      </c>
      <c r="L50" s="6">
        <v>0.8078497978963038</v>
      </c>
      <c r="M50" s="6">
        <v>0.8105703452232879</v>
      </c>
      <c r="N50" s="6">
        <v>0.8132670569628273</v>
      </c>
    </row>
    <row r="51" spans="1:14" ht="12.75">
      <c r="A51" s="7"/>
      <c r="B51" s="7"/>
      <c r="C51" s="7"/>
      <c r="D51" s="12">
        <v>0.8999999999999999</v>
      </c>
      <c r="E51" s="6">
        <v>0.8159398746532405</v>
      </c>
      <c r="F51" s="6">
        <v>0.8185887451082027</v>
      </c>
      <c r="G51" s="6">
        <v>0.8212136203856282</v>
      </c>
      <c r="H51" s="6">
        <v>0.823814457754742</v>
      </c>
      <c r="I51" s="6">
        <v>0.8263912196613753</v>
      </c>
      <c r="J51" s="6">
        <v>0.8289438736915181</v>
      </c>
      <c r="K51" s="6">
        <v>0.8314723925331622</v>
      </c>
      <c r="L51" s="6">
        <v>0.8339767539364704</v>
      </c>
      <c r="M51" s="6">
        <v>0.8364569406723075</v>
      </c>
      <c r="N51" s="6">
        <v>0.838912940489169</v>
      </c>
    </row>
    <row r="52" spans="1:14" ht="12.75" customHeight="1" thickBot="1">
      <c r="A52" s="7"/>
      <c r="B52" s="7"/>
      <c r="C52" s="7"/>
      <c r="D52" s="11" t="s">
        <v>9</v>
      </c>
      <c r="E52" s="11" t="s">
        <v>13</v>
      </c>
      <c r="F52" s="11" t="s">
        <v>14</v>
      </c>
      <c r="G52" s="11" t="s">
        <v>15</v>
      </c>
      <c r="H52" s="11" t="s">
        <v>16</v>
      </c>
      <c r="I52" s="11" t="s">
        <v>17</v>
      </c>
      <c r="J52" s="11" t="s">
        <v>18</v>
      </c>
      <c r="K52" s="11" t="s">
        <v>19</v>
      </c>
      <c r="L52" s="11" t="s">
        <v>20</v>
      </c>
      <c r="M52" s="11" t="s">
        <v>21</v>
      </c>
      <c r="N52" s="11" t="s">
        <v>22</v>
      </c>
    </row>
    <row r="53" spans="1:14" ht="12.75">
      <c r="A53" s="7"/>
      <c r="B53" s="7"/>
      <c r="C53" s="7"/>
      <c r="D53" s="12">
        <v>0.9999999999999999</v>
      </c>
      <c r="E53" s="6">
        <v>0.8413447460685429</v>
      </c>
      <c r="F53" s="6">
        <v>0.8437523549787453</v>
      </c>
      <c r="G53" s="6">
        <v>0.8461357696272651</v>
      </c>
      <c r="H53" s="6">
        <v>0.8484949972116562</v>
      </c>
      <c r="I53" s="6">
        <v>0.8508300496690184</v>
      </c>
      <c r="J53" s="6">
        <v>0.853140943624104</v>
      </c>
      <c r="K53" s="6">
        <v>0.8554277003360904</v>
      </c>
      <c r="L53" s="6">
        <v>0.8576903456440607</v>
      </c>
      <c r="M53" s="6">
        <v>0.8599289099112308</v>
      </c>
      <c r="N53" s="6">
        <v>0.8621434279679644</v>
      </c>
    </row>
    <row r="54" spans="1:14" ht="12.75">
      <c r="A54" s="7"/>
      <c r="B54" s="7"/>
      <c r="C54" s="7"/>
      <c r="D54" s="12">
        <v>1.0999999999999999</v>
      </c>
      <c r="E54" s="6">
        <v>0.8643339390536173</v>
      </c>
      <c r="F54" s="6">
        <v>0.8665004867572528</v>
      </c>
      <c r="G54" s="6">
        <v>0.8686431189572694</v>
      </c>
      <c r="H54" s="6">
        <v>0.8707618877599823</v>
      </c>
      <c r="I54" s="6">
        <v>0.8728568494372018</v>
      </c>
      <c r="J54" s="6">
        <v>0.8749280643628496</v>
      </c>
      <c r="K54" s="6">
        <v>0.8769755969486566</v>
      </c>
      <c r="L54" s="6">
        <v>0.8789995155789817</v>
      </c>
      <c r="M54" s="6">
        <v>0.8809998925447993</v>
      </c>
      <c r="N54" s="6">
        <v>0.8829768039768913</v>
      </c>
    </row>
    <row r="55" spans="1:14" ht="12.75">
      <c r="A55" s="7"/>
      <c r="B55" s="7"/>
      <c r="C55" s="7"/>
      <c r="D55" s="12">
        <v>1.2</v>
      </c>
      <c r="E55" s="6">
        <v>0.8849303297782918</v>
      </c>
      <c r="F55" s="6">
        <v>0.8868605535560228</v>
      </c>
      <c r="G55" s="6">
        <v>0.8887675625521652</v>
      </c>
      <c r="H55" s="6">
        <v>0.8906514475743081</v>
      </c>
      <c r="I55" s="6">
        <v>0.8925123029254132</v>
      </c>
      <c r="J55" s="6">
        <v>0.8943502263331446</v>
      </c>
      <c r="K55" s="6">
        <v>0.8961653188786995</v>
      </c>
      <c r="L55" s="6">
        <v>0.8979576849251809</v>
      </c>
      <c r="M55" s="6">
        <v>0.8997274320455579</v>
      </c>
      <c r="N55" s="6">
        <v>0.9014746709502521</v>
      </c>
    </row>
    <row r="56" spans="1:14" ht="12.75">
      <c r="A56" s="7"/>
      <c r="B56" s="7"/>
      <c r="C56" s="7"/>
      <c r="D56" s="12">
        <v>1.3</v>
      </c>
      <c r="E56" s="6">
        <v>0.9031995154143897</v>
      </c>
      <c r="F56" s="6">
        <v>0.904902082204761</v>
      </c>
      <c r="G56" s="6">
        <v>0.9065824910065281</v>
      </c>
      <c r="H56" s="6">
        <v>0.9082408643497192</v>
      </c>
      <c r="I56" s="6">
        <v>0.9098773275355475</v>
      </c>
      <c r="J56" s="6">
        <v>0.911492008562598</v>
      </c>
      <c r="K56" s="6">
        <v>0.913085038052915</v>
      </c>
      <c r="L56" s="6">
        <v>0.914656549178033</v>
      </c>
      <c r="M56" s="6">
        <v>0.9162066775849859</v>
      </c>
      <c r="N56" s="6">
        <v>0.917735561322331</v>
      </c>
    </row>
    <row r="57" spans="1:14" ht="12.75">
      <c r="A57" s="7"/>
      <c r="B57" s="7"/>
      <c r="C57" s="7"/>
      <c r="D57" s="12">
        <v>1.4000000000000001</v>
      </c>
      <c r="E57" s="6">
        <v>0.9192433407662289</v>
      </c>
      <c r="F57" s="6">
        <v>0.9207301585466074</v>
      </c>
      <c r="G57" s="6">
        <v>0.9221961594734536</v>
      </c>
      <c r="H57" s="6">
        <v>0.923641490463261</v>
      </c>
      <c r="I57" s="6">
        <v>0.925066300465673</v>
      </c>
      <c r="J57" s="6">
        <v>0.9264707403903516</v>
      </c>
      <c r="K57" s="6">
        <v>0.9278549630341062</v>
      </c>
      <c r="L57" s="6">
        <v>0.9292191230083144</v>
      </c>
      <c r="M57" s="6">
        <v>0.9305633766666682</v>
      </c>
      <c r="N57" s="6">
        <v>0.9318878820332746</v>
      </c>
    </row>
    <row r="58" spans="1:14" ht="12.75">
      <c r="A58" s="7"/>
      <c r="B58" s="7"/>
      <c r="C58" s="7"/>
      <c r="D58" s="12">
        <v>1.5000000000000002</v>
      </c>
      <c r="E58" s="6">
        <v>0.9331927987311419</v>
      </c>
      <c r="F58" s="6">
        <v>0.9344782879110834</v>
      </c>
      <c r="G58" s="6">
        <v>0.9357445121810641</v>
      </c>
      <c r="H58" s="6">
        <v>0.9369916355360215</v>
      </c>
      <c r="I58" s="6">
        <v>0.9382198232881882</v>
      </c>
      <c r="J58" s="6">
        <v>0.9394292419979411</v>
      </c>
      <c r="K58" s="6">
        <v>0.940620059405207</v>
      </c>
      <c r="L58" s="6">
        <v>0.941792444361447</v>
      </c>
      <c r="M58" s="6">
        <v>0.9429465667622459</v>
      </c>
      <c r="N58" s="6">
        <v>0.9440825974805305</v>
      </c>
    </row>
    <row r="59" spans="1:14" ht="12.75">
      <c r="A59" s="7"/>
      <c r="B59" s="7"/>
      <c r="C59" s="7"/>
      <c r="D59" s="12">
        <v>1.6000000000000003</v>
      </c>
      <c r="E59" s="6">
        <v>0.9452007083004421</v>
      </c>
      <c r="F59" s="6">
        <v>0.9463010718518803</v>
      </c>
      <c r="G59" s="6">
        <v>0.9473838615457479</v>
      </c>
      <c r="H59" s="6">
        <v>0.9484492515099106</v>
      </c>
      <c r="I59" s="6">
        <v>0.949497416525896</v>
      </c>
      <c r="J59" s="6">
        <v>0.9505285319663519</v>
      </c>
      <c r="K59" s="6">
        <v>0.9515427737332772</v>
      </c>
      <c r="L59" s="6">
        <v>0.9525403181970526</v>
      </c>
      <c r="M59" s="6">
        <v>0.9535213421362799</v>
      </c>
      <c r="N59" s="6">
        <v>0.9544860226784502</v>
      </c>
    </row>
    <row r="60" spans="1:14" ht="12.75">
      <c r="A60" s="7"/>
      <c r="B60" s="7"/>
      <c r="C60" s="7"/>
      <c r="D60" s="12">
        <v>1.7000000000000004</v>
      </c>
      <c r="E60" s="6">
        <v>0.955434537241457</v>
      </c>
      <c r="F60" s="6">
        <v>0.956367063475968</v>
      </c>
      <c r="G60" s="6">
        <v>0.9572837792086712</v>
      </c>
      <c r="H60" s="6">
        <v>0.958184862386405</v>
      </c>
      <c r="I60" s="6">
        <v>0.9590704910211927</v>
      </c>
      <c r="J60" s="6">
        <v>0.959940843136183</v>
      </c>
      <c r="K60" s="6">
        <v>0.9607960967125173</v>
      </c>
      <c r="L60" s="6">
        <v>0.9616364296371287</v>
      </c>
      <c r="M60" s="6">
        <v>0.962462019651483</v>
      </c>
      <c r="N60" s="6">
        <v>0.9632730443012738</v>
      </c>
    </row>
    <row r="61" spans="1:14" ht="12.75">
      <c r="A61" s="7"/>
      <c r="B61" s="7"/>
      <c r="C61" s="7"/>
      <c r="D61" s="12">
        <v>1.8000000000000005</v>
      </c>
      <c r="E61" s="6">
        <v>0.9640696808870742</v>
      </c>
      <c r="F61" s="6">
        <v>0.9648521064159614</v>
      </c>
      <c r="G61" s="6">
        <v>0.9656204975541101</v>
      </c>
      <c r="H61" s="6">
        <v>0.9663750305803718</v>
      </c>
      <c r="I61" s="6">
        <v>0.9671158813408363</v>
      </c>
      <c r="J61" s="6">
        <v>0.9678432252043865</v>
      </c>
      <c r="K61" s="6">
        <v>0.9685572370192472</v>
      </c>
      <c r="L61" s="6">
        <v>0.9692580910705341</v>
      </c>
      <c r="M61" s="6">
        <v>0.9699459610388003</v>
      </c>
      <c r="N61" s="6">
        <v>0.9706210199595907</v>
      </c>
    </row>
    <row r="62" spans="1:14" ht="12.75">
      <c r="A62" s="7"/>
      <c r="B62" s="7"/>
      <c r="C62" s="7"/>
      <c r="D62" s="12">
        <v>1.9000000000000006</v>
      </c>
      <c r="E62" s="6">
        <v>0.971283440183998</v>
      </c>
      <c r="F62" s="6">
        <v>0.9719333933402274</v>
      </c>
      <c r="G62" s="6">
        <v>0.9725710502961633</v>
      </c>
      <c r="H62" s="6">
        <v>0.9731965811229449</v>
      </c>
      <c r="I62" s="6">
        <v>0.9738101550595473</v>
      </c>
      <c r="J62" s="6">
        <v>0.9744119404783613</v>
      </c>
      <c r="K62" s="6">
        <v>0.9750021048517796</v>
      </c>
      <c r="L62" s="6">
        <v>0.9755808147197778</v>
      </c>
      <c r="M62" s="6">
        <v>0.9761482356584915</v>
      </c>
      <c r="N62" s="6">
        <v>0.9767045322497883</v>
      </c>
    </row>
    <row r="63" spans="1:14" ht="12" customHeight="1" thickBot="1">
      <c r="A63" s="7"/>
      <c r="B63" s="7"/>
      <c r="C63" s="7"/>
      <c r="D63" s="11" t="s">
        <v>9</v>
      </c>
      <c r="E63" s="11" t="s">
        <v>13</v>
      </c>
      <c r="F63" s="11" t="s">
        <v>14</v>
      </c>
      <c r="G63" s="11" t="s">
        <v>15</v>
      </c>
      <c r="H63" s="11" t="s">
        <v>16</v>
      </c>
      <c r="I63" s="11" t="s">
        <v>17</v>
      </c>
      <c r="J63" s="11" t="s">
        <v>18</v>
      </c>
      <c r="K63" s="11" t="s">
        <v>19</v>
      </c>
      <c r="L63" s="11" t="s">
        <v>20</v>
      </c>
      <c r="M63" s="11" t="s">
        <v>21</v>
      </c>
      <c r="N63" s="11" t="s">
        <v>22</v>
      </c>
    </row>
    <row r="64" spans="1:14" ht="12.75">
      <c r="A64" s="7"/>
      <c r="B64" s="7"/>
      <c r="C64" s="7"/>
      <c r="D64" s="12">
        <v>2.0000000000000004</v>
      </c>
      <c r="E64" s="6">
        <v>0.9772498680518207</v>
      </c>
      <c r="F64" s="6">
        <v>0.9777844055705684</v>
      </c>
      <c r="G64" s="6">
        <v>0.9783083062323531</v>
      </c>
      <c r="H64" s="6">
        <v>0.9788217303573277</v>
      </c>
      <c r="I64" s="6">
        <v>0.97932483713393</v>
      </c>
      <c r="J64" s="6">
        <v>0.9798177845942956</v>
      </c>
      <c r="K64" s="6">
        <v>0.9803007295906233</v>
      </c>
      <c r="L64" s="6">
        <v>0.9807738277724827</v>
      </c>
      <c r="M64" s="6">
        <v>0.9812372335650621</v>
      </c>
      <c r="N64" s="6">
        <v>0.981691100148341</v>
      </c>
    </row>
    <row r="65" spans="1:14" ht="12.75">
      <c r="A65" s="7"/>
      <c r="B65" s="7"/>
      <c r="C65" s="7"/>
      <c r="D65" s="12">
        <v>2.1000000000000005</v>
      </c>
      <c r="E65" s="6">
        <v>0.9821355794371835</v>
      </c>
      <c r="F65" s="6">
        <v>0.982570822062343</v>
      </c>
      <c r="G65" s="6">
        <v>0.9829969773523671</v>
      </c>
      <c r="H65" s="6">
        <v>0.9834141933163949</v>
      </c>
      <c r="I65" s="6">
        <v>0.983822616627834</v>
      </c>
      <c r="J65" s="6">
        <v>0.9842223926089095</v>
      </c>
      <c r="K65" s="6">
        <v>0.9846136652160744</v>
      </c>
      <c r="L65" s="6">
        <v>0.9849965770262676</v>
      </c>
      <c r="M65" s="6">
        <v>0.9853712692240109</v>
      </c>
      <c r="N65" s="6">
        <v>0.9857378815893312</v>
      </c>
    </row>
    <row r="66" spans="1:14" ht="12.75">
      <c r="A66" s="7"/>
      <c r="B66" s="7"/>
      <c r="C66" s="7"/>
      <c r="D66" s="12">
        <v>2.2000000000000006</v>
      </c>
      <c r="E66" s="6">
        <v>0.9860965524865013</v>
      </c>
      <c r="F66" s="6">
        <v>0.9864474188535801</v>
      </c>
      <c r="G66" s="6">
        <v>0.986790616192744</v>
      </c>
      <c r="H66" s="6">
        <v>0.9871262785613979</v>
      </c>
      <c r="I66" s="6">
        <v>0.9874545385640535</v>
      </c>
      <c r="J66" s="6">
        <v>0.9877755273449556</v>
      </c>
      <c r="K66" s="6">
        <v>0.988089374581453</v>
      </c>
      <c r="L66" s="6">
        <v>0.9883962084780964</v>
      </c>
      <c r="M66" s="6">
        <v>0.9886961557614471</v>
      </c>
      <c r="N66" s="6">
        <v>0.9889893416755885</v>
      </c>
    </row>
    <row r="67" spans="1:14" ht="12.75">
      <c r="A67" s="7"/>
      <c r="B67" s="7"/>
      <c r="C67" s="7"/>
      <c r="D67" s="12">
        <v>2.3000000000000007</v>
      </c>
      <c r="E67" s="6">
        <v>0.9892758899783238</v>
      </c>
      <c r="F67" s="6">
        <v>0.989555922938049</v>
      </c>
      <c r="G67" s="6">
        <v>0.9898295613312802</v>
      </c>
      <c r="H67" s="6">
        <v>0.9900969244408357</v>
      </c>
      <c r="I67" s="6">
        <v>0.9903581300546416</v>
      </c>
      <c r="J67" s="6">
        <v>0.9906132944651613</v>
      </c>
      <c r="K67" s="6">
        <v>0.9908625324694273</v>
      </c>
      <c r="L67" s="6">
        <v>0.991105957369663</v>
      </c>
      <c r="M67" s="6">
        <v>0.9913436809744836</v>
      </c>
      <c r="N67" s="6">
        <v>0.9915758136006545</v>
      </c>
    </row>
    <row r="68" spans="1:14" ht="12.75">
      <c r="A68" s="7"/>
      <c r="B68" s="7"/>
      <c r="C68" s="7"/>
      <c r="D68" s="12">
        <v>2.400000000000001</v>
      </c>
      <c r="E68" s="6">
        <v>0.991802464075404</v>
      </c>
      <c r="F68" s="6">
        <v>0.9920237397392663</v>
      </c>
      <c r="G68" s="6">
        <v>0.9922397464494463</v>
      </c>
      <c r="H68" s="6">
        <v>0.992450588583691</v>
      </c>
      <c r="I68" s="6">
        <v>0.9926563690446517</v>
      </c>
      <c r="J68" s="6">
        <v>0.9928571892647285</v>
      </c>
      <c r="K68" s="6">
        <v>0.9930531492113759</v>
      </c>
      <c r="L68" s="6">
        <v>0.9932443473928594</v>
      </c>
      <c r="M68" s="6">
        <v>0.9934308808644533</v>
      </c>
      <c r="N68" s="6">
        <v>0.993612845235057</v>
      </c>
    </row>
    <row r="69" spans="1:14" ht="12.75">
      <c r="A69" s="7"/>
      <c r="B69" s="7"/>
      <c r="C69" s="7"/>
      <c r="D69" s="12">
        <v>2.500000000000001</v>
      </c>
      <c r="E69" s="6">
        <v>0.993790334674224</v>
      </c>
      <c r="F69" s="6">
        <v>0.9939634419195874</v>
      </c>
      <c r="G69" s="6">
        <v>0.9941322582846674</v>
      </c>
      <c r="H69" s="6">
        <v>0.9942968736670494</v>
      </c>
      <c r="I69" s="6">
        <v>0.9944573765569176</v>
      </c>
      <c r="J69" s="6">
        <v>0.9946138540459332</v>
      </c>
      <c r="K69" s="6">
        <v>0.9947663918364442</v>
      </c>
      <c r="L69" s="6">
        <v>0.9949150742510089</v>
      </c>
      <c r="M69" s="6">
        <v>0.9950599842422293</v>
      </c>
      <c r="N69" s="6">
        <v>0.9952012034028739</v>
      </c>
    </row>
    <row r="70" spans="1:14" ht="12.75">
      <c r="A70" s="7"/>
      <c r="B70" s="7"/>
      <c r="C70" s="7"/>
      <c r="D70" s="12">
        <v>2.600000000000001</v>
      </c>
      <c r="E70" s="6">
        <v>0.9953388119762813</v>
      </c>
      <c r="F70" s="6">
        <v>0.9954728888670328</v>
      </c>
      <c r="G70" s="6">
        <v>0.9956035116518789</v>
      </c>
      <c r="H70" s="6">
        <v>0.9957307565909106</v>
      </c>
      <c r="I70" s="6">
        <v>0.995854698638964</v>
      </c>
      <c r="J70" s="6">
        <v>0.9959754114572417</v>
      </c>
      <c r="K70" s="6">
        <v>0.9960929674251471</v>
      </c>
      <c r="L70" s="6">
        <v>0.9962074376523145</v>
      </c>
      <c r="M70" s="6">
        <v>0.996318891990825</v>
      </c>
      <c r="N70" s="6">
        <v>0.9964273990476005</v>
      </c>
    </row>
    <row r="71" spans="1:14" ht="12.75">
      <c r="A71" s="7"/>
      <c r="B71" s="7"/>
      <c r="C71" s="7"/>
      <c r="D71" s="12">
        <v>2.700000000000001</v>
      </c>
      <c r="E71" s="6">
        <v>0.9965330261969598</v>
      </c>
      <c r="F71" s="6">
        <v>0.9966358395933308</v>
      </c>
      <c r="G71" s="6">
        <v>0.9967359041841086</v>
      </c>
      <c r="H71" s="6">
        <v>0.9968332837226423</v>
      </c>
      <c r="I71" s="6">
        <v>0.9969280407813494</v>
      </c>
      <c r="J71" s="6">
        <v>0.9970202367649456</v>
      </c>
      <c r="K71" s="6">
        <v>0.9971099319237738</v>
      </c>
      <c r="L71" s="6">
        <v>0.9971971853672349</v>
      </c>
      <c r="M71" s="6">
        <v>0.9972820550772987</v>
      </c>
      <c r="N71" s="6">
        <v>0.9973645979220953</v>
      </c>
    </row>
    <row r="72" spans="1:14" ht="12.75">
      <c r="A72" s="7"/>
      <c r="B72" s="7"/>
      <c r="C72" s="7"/>
      <c r="D72" s="12">
        <v>2.800000000000001</v>
      </c>
      <c r="E72" s="6">
        <v>0.9974448696695721</v>
      </c>
      <c r="F72" s="6">
        <v>0.9975229250012143</v>
      </c>
      <c r="G72" s="6">
        <v>0.9975988175258108</v>
      </c>
      <c r="H72" s="6">
        <v>0.9976725997932685</v>
      </c>
      <c r="I72" s="6">
        <v>0.9977443233084577</v>
      </c>
      <c r="J72" s="6">
        <v>0.9978140385450867</v>
      </c>
      <c r="K72" s="6">
        <v>0.9978817949595952</v>
      </c>
      <c r="L72" s="6">
        <v>0.9979476410050603</v>
      </c>
      <c r="M72" s="6">
        <v>0.9980116241451056</v>
      </c>
      <c r="N72" s="6">
        <v>0.9980737908678121</v>
      </c>
    </row>
    <row r="73" spans="1:14" ht="12.75">
      <c r="A73" s="7"/>
      <c r="B73" s="7"/>
      <c r="C73" s="7"/>
      <c r="D73" s="12">
        <v>2.9000000000000012</v>
      </c>
      <c r="E73" s="6">
        <v>0.9981341866996158</v>
      </c>
      <c r="F73" s="6">
        <v>0.9981928562191937</v>
      </c>
      <c r="G73" s="6">
        <v>0.9982498430713242</v>
      </c>
      <c r="H73" s="6">
        <v>0.9983051899807232</v>
      </c>
      <c r="I73" s="6">
        <v>0.9983589387658429</v>
      </c>
      <c r="J73" s="6">
        <v>0.9984111303526348</v>
      </c>
      <c r="K73" s="6">
        <v>0.9984618047882617</v>
      </c>
      <c r="L73" s="6">
        <v>0.9985110012547624</v>
      </c>
      <c r="M73" s="6">
        <v>0.99855875808266</v>
      </c>
      <c r="N73" s="6">
        <v>0.9986051127645081</v>
      </c>
    </row>
    <row r="74" spans="1:14" ht="13.5" customHeight="1" thickBot="1">
      <c r="A74" s="7"/>
      <c r="B74" s="7"/>
      <c r="C74" s="7"/>
      <c r="D74" s="11" t="s">
        <v>9</v>
      </c>
      <c r="E74" s="11" t="s">
        <v>13</v>
      </c>
      <c r="F74" s="11" t="s">
        <v>14</v>
      </c>
      <c r="G74" s="11" t="s">
        <v>15</v>
      </c>
      <c r="H74" s="11" t="s">
        <v>16</v>
      </c>
      <c r="I74" s="11" t="s">
        <v>17</v>
      </c>
      <c r="J74" s="11" t="s">
        <v>18</v>
      </c>
      <c r="K74" s="11" t="s">
        <v>19</v>
      </c>
      <c r="L74" s="11" t="s">
        <v>20</v>
      </c>
      <c r="M74" s="11" t="s">
        <v>21</v>
      </c>
      <c r="N74" s="11" t="s">
        <v>22</v>
      </c>
    </row>
    <row r="75" spans="1:14" ht="12.75">
      <c r="A75" s="7"/>
      <c r="B75" s="7"/>
      <c r="C75" s="7"/>
      <c r="D75" s="12">
        <v>3.0000000000000013</v>
      </c>
      <c r="E75" s="6">
        <v>0.9986501019683701</v>
      </c>
      <c r="F75" s="6">
        <v>0.9986937615512305</v>
      </c>
      <c r="G75" s="6">
        <v>0.9987361265723278</v>
      </c>
      <c r="H75" s="6">
        <v>0.9987772313064077</v>
      </c>
      <c r="I75" s="6">
        <v>0.9988171092568956</v>
      </c>
      <c r="J75" s="6">
        <v>0.9988557931689772</v>
      </c>
      <c r="K75" s="6">
        <v>0.9988933150425909</v>
      </c>
      <c r="L75" s="6">
        <v>0.9989297061453213</v>
      </c>
      <c r="M75" s="6">
        <v>0.9989649970251975</v>
      </c>
      <c r="N75" s="6">
        <v>0.9989992175233859</v>
      </c>
    </row>
    <row r="76" spans="1:14" ht="12.75">
      <c r="A76" s="7"/>
      <c r="B76" s="7"/>
      <c r="C76" s="7"/>
      <c r="D76" s="12">
        <v>3.1000000000000014</v>
      </c>
      <c r="E76" s="6">
        <v>0.9990323967867818</v>
      </c>
      <c r="F76" s="6">
        <v>0.9990645632804858</v>
      </c>
      <c r="G76" s="6">
        <v>0.9990957448001778</v>
      </c>
      <c r="H76" s="6">
        <v>0.9991259684843683</v>
      </c>
      <c r="I76" s="6">
        <v>0.9991552608265417</v>
      </c>
      <c r="J76" s="6">
        <v>0.9991836476871707</v>
      </c>
      <c r="K76" s="6">
        <v>0.9992111543056245</v>
      </c>
      <c r="L76" s="6">
        <v>0.9992378053119325</v>
      </c>
      <c r="M76" s="6">
        <v>0.999263624738446</v>
      </c>
      <c r="N76" s="6">
        <v>0.9992886360313552</v>
      </c>
    </row>
    <row r="77" spans="1:14" ht="12.75">
      <c r="A77" s="7"/>
      <c r="B77" s="7"/>
      <c r="C77" s="7"/>
      <c r="D77" s="12">
        <v>3.2000000000000015</v>
      </c>
      <c r="E77" s="6">
        <v>0.9993128620620841</v>
      </c>
      <c r="F77" s="6">
        <v>0.9993363251385605</v>
      </c>
      <c r="G77" s="6">
        <v>0.9993590470163396</v>
      </c>
      <c r="H77" s="6">
        <v>0.9993810489096135</v>
      </c>
      <c r="I77" s="6">
        <v>0.9994023515020658</v>
      </c>
      <c r="J77" s="6">
        <v>0.9994229749576101</v>
      </c>
      <c r="K77" s="6">
        <v>0.9994429389309754</v>
      </c>
      <c r="L77" s="6">
        <v>0.99946226257817</v>
      </c>
      <c r="M77" s="6">
        <v>0.9994809645667937</v>
      </c>
      <c r="N77" s="6">
        <v>0.9994990630862143</v>
      </c>
    </row>
    <row r="78" spans="1:14" ht="12.75">
      <c r="A78" s="7"/>
      <c r="B78" s="7"/>
      <c r="C78" s="7"/>
      <c r="D78" s="12">
        <v>3.3000000000000016</v>
      </c>
      <c r="E78" s="6">
        <v>0.9995165758576167</v>
      </c>
      <c r="F78" s="6">
        <v>0.9995335201438931</v>
      </c>
      <c r="G78" s="6">
        <v>0.9995499127594081</v>
      </c>
      <c r="H78" s="6">
        <v>0.9995657700796186</v>
      </c>
      <c r="I78" s="6">
        <v>0.999581108050549</v>
      </c>
      <c r="J78" s="6">
        <v>0.9995959421981355</v>
      </c>
      <c r="K78" s="6">
        <v>0.9996102876374177</v>
      </c>
      <c r="L78" s="6">
        <v>0.9996241590816002</v>
      </c>
      <c r="M78" s="6">
        <v>0.9996375708509669</v>
      </c>
      <c r="N78" s="6">
        <v>0.9996505368816616</v>
      </c>
    </row>
    <row r="79" spans="1:14" ht="12.75">
      <c r="A79" s="7"/>
      <c r="B79" s="7"/>
      <c r="C79" s="7"/>
      <c r="D79" s="12">
        <v>3.4000000000000017</v>
      </c>
      <c r="E79" s="6">
        <v>0.9996630707343231</v>
      </c>
      <c r="F79" s="6">
        <v>0.9996751856025816</v>
      </c>
      <c r="G79" s="6">
        <v>0.9996868943214197</v>
      </c>
      <c r="H79" s="6">
        <v>0.9996982093753914</v>
      </c>
      <c r="I79" s="6">
        <v>0.9997091429067089</v>
      </c>
      <c r="J79" s="6">
        <v>0.9997197067231842</v>
      </c>
      <c r="K79" s="6">
        <v>0.9997299123060376</v>
      </c>
      <c r="L79" s="6">
        <v>0.9997397708175726</v>
      </c>
      <c r="M79" s="6">
        <v>0.9997492931087196</v>
      </c>
      <c r="N79" s="6">
        <v>0.9997584897264333</v>
      </c>
    </row>
    <row r="80" spans="1:14" ht="12.75">
      <c r="A80" s="7"/>
      <c r="B80" s="7"/>
      <c r="C80" s="7"/>
      <c r="D80" s="12">
        <v>3.5000000000000018</v>
      </c>
      <c r="E80" s="6">
        <v>0.9997673709209641</v>
      </c>
      <c r="F80" s="6">
        <v>0.9997759466530091</v>
      </c>
      <c r="G80" s="6">
        <v>0.9997842266007055</v>
      </c>
      <c r="H80" s="6">
        <v>0.9997922201665208</v>
      </c>
      <c r="I80" s="6">
        <v>0.999799936483994</v>
      </c>
      <c r="J80" s="6">
        <v>0.999807384424365</v>
      </c>
      <c r="K80" s="6">
        <v>0.9998145726030652</v>
      </c>
      <c r="L80" s="6">
        <v>0.9998215093860952</v>
      </c>
      <c r="M80" s="6">
        <v>0.999828202896254</v>
      </c>
      <c r="N80" s="6">
        <v>0.9998346610192808</v>
      </c>
    </row>
    <row r="81" spans="1:14" ht="12.75">
      <c r="A81" s="7"/>
      <c r="B81" s="7"/>
      <c r="C81" s="7"/>
      <c r="D81" s="12">
        <v>3.600000000000002</v>
      </c>
      <c r="E81" s="6">
        <v>0.999840891409842</v>
      </c>
      <c r="F81" s="6">
        <v>0.9998469014974267</v>
      </c>
      <c r="G81" s="6">
        <v>0.9998526984920927</v>
      </c>
      <c r="H81" s="6">
        <v>0.9998582893901249</v>
      </c>
      <c r="I81" s="6">
        <v>0.9998636809795542</v>
      </c>
      <c r="J81" s="6">
        <v>0.9998688798455808</v>
      </c>
      <c r="K81" s="6">
        <v>0.9998738923758592</v>
      </c>
      <c r="L81" s="6">
        <v>0.9998787247657144</v>
      </c>
      <c r="M81" s="6">
        <v>0.999883383023184</v>
      </c>
      <c r="N81" s="6">
        <v>0.9998878729740189</v>
      </c>
    </row>
    <row r="82" spans="1:14" ht="12.75">
      <c r="A82" s="7"/>
      <c r="B82" s="7"/>
      <c r="C82" s="7"/>
      <c r="D82" s="12">
        <v>3.700000000000002</v>
      </c>
      <c r="E82" s="6">
        <v>0.999892200266522</v>
      </c>
      <c r="F82" s="6">
        <v>0.9998963703763242</v>
      </c>
      <c r="G82" s="6">
        <v>0.9999003886110253</v>
      </c>
      <c r="H82" s="6">
        <v>0.999904260114733</v>
      </c>
      <c r="I82" s="6">
        <v>0.9999079898725252</v>
      </c>
      <c r="J82" s="6">
        <v>0.9999115827148002</v>
      </c>
      <c r="K82" s="6">
        <v>0.9999150433215042</v>
      </c>
      <c r="L82" s="6">
        <v>0.999918376226299</v>
      </c>
      <c r="M82" s="6">
        <v>0.9999215858206165</v>
      </c>
      <c r="N82" s="6">
        <v>0.999924676357622</v>
      </c>
    </row>
    <row r="83" spans="1:14" ht="12.75">
      <c r="A83" s="7"/>
      <c r="B83" s="7"/>
      <c r="C83" s="7"/>
      <c r="D83" s="12">
        <v>3.800000000000002</v>
      </c>
      <c r="E83" s="6">
        <v>0.9999276519560756</v>
      </c>
      <c r="F83" s="6">
        <v>0.9999305166041177</v>
      </c>
      <c r="G83" s="6">
        <v>0.9999332741629698</v>
      </c>
      <c r="H83" s="6">
        <v>0.9999359283705092</v>
      </c>
      <c r="I83" s="6">
        <v>0.9999384828448187</v>
      </c>
      <c r="J83" s="6">
        <v>0.999940941087582</v>
      </c>
      <c r="K83" s="6">
        <v>0.9999433064874635</v>
      </c>
      <c r="L83" s="6">
        <v>0.9999455823233683</v>
      </c>
      <c r="M83" s="6">
        <v>0.9999477717675965</v>
      </c>
      <c r="N83" s="6">
        <v>0.9999498778890042</v>
      </c>
    </row>
    <row r="84" spans="1:14" ht="12.75">
      <c r="A84" s="7"/>
      <c r="B84" s="7"/>
      <c r="C84" s="7"/>
      <c r="D84" s="12">
        <v>3.900000000000002</v>
      </c>
      <c r="E84" s="6">
        <v>0.9999519036559821</v>
      </c>
      <c r="F84" s="6">
        <v>0.9999538519394435</v>
      </c>
      <c r="G84" s="6">
        <v>0.999955725515683</v>
      </c>
      <c r="H84" s="6">
        <v>0.9999575270692137</v>
      </c>
      <c r="I84" s="6">
        <v>0.9999592591954402</v>
      </c>
      <c r="J84" s="6">
        <v>0.9999609244034011</v>
      </c>
      <c r="K84" s="6">
        <v>0.9999625251183089</v>
      </c>
      <c r="L84" s="6">
        <v>0.9999640636840943</v>
      </c>
      <c r="M84" s="6">
        <v>0.9999655423658864</v>
      </c>
      <c r="N84" s="6">
        <v>0.999966963352368</v>
      </c>
    </row>
    <row r="85" spans="1:14" ht="13.5" thickBot="1">
      <c r="A85" s="7"/>
      <c r="B85" s="7"/>
      <c r="C85" s="7"/>
      <c r="D85" s="11" t="s">
        <v>9</v>
      </c>
      <c r="E85" s="11" t="s">
        <v>13</v>
      </c>
      <c r="F85" s="11" t="s">
        <v>14</v>
      </c>
      <c r="G85" s="11" t="s">
        <v>15</v>
      </c>
      <c r="H85" s="11" t="s">
        <v>16</v>
      </c>
      <c r="I85" s="11" t="s">
        <v>17</v>
      </c>
      <c r="J85" s="11" t="s">
        <v>18</v>
      </c>
      <c r="K85" s="11" t="s">
        <v>19</v>
      </c>
      <c r="L85" s="11" t="s">
        <v>20</v>
      </c>
      <c r="M85" s="11" t="s">
        <v>21</v>
      </c>
      <c r="N85" s="11" t="s">
        <v>22</v>
      </c>
    </row>
    <row r="86" spans="1:3" ht="12.75">
      <c r="A86" s="7"/>
      <c r="B86" s="7"/>
      <c r="C86" s="7"/>
    </row>
    <row r="87" spans="1:3" ht="12.75">
      <c r="A87" s="7"/>
      <c r="B87" s="7"/>
      <c r="C87" s="7"/>
    </row>
    <row r="88" spans="1:3" ht="12.75">
      <c r="A88" s="7"/>
      <c r="B88" s="7"/>
      <c r="C88" s="7"/>
    </row>
    <row r="89" spans="1:3" ht="12.75">
      <c r="A89" s="7"/>
      <c r="B89" s="7"/>
      <c r="C89" s="7"/>
    </row>
    <row r="90" spans="1:3" ht="12.75">
      <c r="A90" s="7"/>
      <c r="B90" s="7"/>
      <c r="C90" s="7"/>
    </row>
    <row r="91" spans="1:3" ht="12.75">
      <c r="A91" s="7"/>
      <c r="B91" s="7"/>
      <c r="C91" s="7"/>
    </row>
    <row r="92" spans="1:3" ht="12.75">
      <c r="A92" s="7"/>
      <c r="B92" s="7"/>
      <c r="C92" s="7"/>
    </row>
    <row r="93" ht="15">
      <c r="D93" s="5"/>
    </row>
    <row r="94" ht="15">
      <c r="D94" s="5"/>
    </row>
  </sheetData>
  <sheetProtection/>
  <printOptions/>
  <pageMargins left="0.5" right="0.5" top="0.5" bottom="0.5" header="0" footer="0"/>
  <pageSetup fitToHeight="1" fitToWidth="1" horizontalDpi="300" verticalDpi="300" orientation="landscape" scale="4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4:P15"/>
  <sheetViews>
    <sheetView zoomScalePageLayoutView="0" workbookViewId="0" topLeftCell="J1">
      <selection activeCell="T9" sqref="T9"/>
    </sheetView>
  </sheetViews>
  <sheetFormatPr defaultColWidth="9.140625" defaultRowHeight="12.75"/>
  <sheetData>
    <row r="4" spans="4:16" ht="12.75">
      <c r="D4" t="s">
        <v>30</v>
      </c>
      <c r="E4" t="s">
        <v>31</v>
      </c>
      <c r="F4" t="s">
        <v>32</v>
      </c>
      <c r="G4" t="s">
        <v>33</v>
      </c>
      <c r="H4" t="s">
        <v>34</v>
      </c>
      <c r="L4" t="s">
        <v>30</v>
      </c>
      <c r="M4" t="s">
        <v>31</v>
      </c>
      <c r="N4" t="s">
        <v>32</v>
      </c>
      <c r="O4" t="s">
        <v>33</v>
      </c>
      <c r="P4" t="s">
        <v>34</v>
      </c>
    </row>
    <row r="5" spans="3:16" ht="12.75">
      <c r="C5">
        <v>1</v>
      </c>
      <c r="D5" s="19">
        <v>35</v>
      </c>
      <c r="E5" s="19">
        <v>25</v>
      </c>
      <c r="F5" s="20">
        <f>D5-E5</f>
        <v>10</v>
      </c>
      <c r="G5" s="20">
        <f>F5^2</f>
        <v>100</v>
      </c>
      <c r="H5" s="20">
        <f>G5/E5</f>
        <v>4</v>
      </c>
      <c r="K5">
        <v>1</v>
      </c>
      <c r="L5" s="19">
        <v>24</v>
      </c>
      <c r="M5" s="19">
        <v>26.7</v>
      </c>
      <c r="N5" s="255">
        <f>L5-M5</f>
        <v>-2.6999999999999993</v>
      </c>
      <c r="O5" s="255">
        <f>N5^2</f>
        <v>7.2899999999999965</v>
      </c>
      <c r="P5" s="255">
        <f>O5/M5</f>
        <v>0.2730337078651684</v>
      </c>
    </row>
    <row r="6" spans="3:16" ht="12.75">
      <c r="C6">
        <v>2</v>
      </c>
      <c r="D6" s="19">
        <v>20</v>
      </c>
      <c r="E6" s="19">
        <v>15</v>
      </c>
      <c r="F6" s="20">
        <f>D6-E6</f>
        <v>5</v>
      </c>
      <c r="G6" s="20">
        <f>F6^2</f>
        <v>25</v>
      </c>
      <c r="H6" s="20">
        <f>G6/E6</f>
        <v>1.6666666666666667</v>
      </c>
      <c r="K6">
        <v>2</v>
      </c>
      <c r="L6" s="19">
        <v>62</v>
      </c>
      <c r="M6" s="19">
        <v>55.1</v>
      </c>
      <c r="N6" s="255">
        <f>L6-M6</f>
        <v>6.899999999999999</v>
      </c>
      <c r="O6" s="255">
        <f>N6^2</f>
        <v>47.60999999999998</v>
      </c>
      <c r="P6" s="255">
        <f>O6/M6</f>
        <v>0.8640653357531757</v>
      </c>
    </row>
    <row r="7" spans="3:16" ht="12.75">
      <c r="C7">
        <v>3</v>
      </c>
      <c r="D7" s="19">
        <v>25</v>
      </c>
      <c r="E7" s="19">
        <v>40</v>
      </c>
      <c r="F7" s="20">
        <f>D7-E7</f>
        <v>-15</v>
      </c>
      <c r="G7" s="20">
        <f>F7^2</f>
        <v>225</v>
      </c>
      <c r="H7" s="20">
        <f>G7/E7</f>
        <v>5.625</v>
      </c>
      <c r="K7">
        <v>3</v>
      </c>
      <c r="L7" s="19">
        <v>72</v>
      </c>
      <c r="M7" s="19">
        <v>66.64</v>
      </c>
      <c r="N7" s="255">
        <f>L7-M7</f>
        <v>5.359999999999999</v>
      </c>
      <c r="O7" s="255">
        <f>N7^2</f>
        <v>28.729599999999994</v>
      </c>
      <c r="P7" s="255">
        <f>O7/M7</f>
        <v>0.43111644657863135</v>
      </c>
    </row>
    <row r="8" spans="3:16" ht="12.75">
      <c r="C8">
        <v>4</v>
      </c>
      <c r="D8" s="19">
        <v>20</v>
      </c>
      <c r="E8" s="19">
        <v>20</v>
      </c>
      <c r="F8" s="20">
        <f>D8-E8</f>
        <v>0</v>
      </c>
      <c r="G8" s="20">
        <f>F8^2</f>
        <v>0</v>
      </c>
      <c r="H8" s="20">
        <f>G8/E8</f>
        <v>0</v>
      </c>
      <c r="K8">
        <v>4</v>
      </c>
      <c r="L8" s="19">
        <v>26</v>
      </c>
      <c r="M8" s="19">
        <v>38.96</v>
      </c>
      <c r="N8" s="255">
        <f>L8-M8</f>
        <v>-12.96</v>
      </c>
      <c r="O8" s="255">
        <f>N8^2</f>
        <v>167.96160000000003</v>
      </c>
      <c r="P8" s="255">
        <f>O8/M8</f>
        <v>4.311129363449693</v>
      </c>
    </row>
    <row r="9" spans="3:16" ht="12.75">
      <c r="C9">
        <v>5</v>
      </c>
      <c r="D9" s="19"/>
      <c r="E9" s="19"/>
      <c r="F9" s="20"/>
      <c r="G9" s="20"/>
      <c r="H9" s="20"/>
      <c r="K9">
        <v>5</v>
      </c>
      <c r="L9" s="19">
        <v>16</v>
      </c>
      <c r="M9" s="19">
        <v>12.6</v>
      </c>
      <c r="N9" s="255">
        <f>L9-M9</f>
        <v>3.4000000000000004</v>
      </c>
      <c r="O9" s="255">
        <f>N9^2</f>
        <v>11.560000000000002</v>
      </c>
      <c r="P9" s="255">
        <f>O9/M9</f>
        <v>0.9174603174603176</v>
      </c>
    </row>
    <row r="10" spans="3:16" ht="12.75">
      <c r="C10">
        <v>6</v>
      </c>
      <c r="D10" s="19"/>
      <c r="E10" s="19"/>
      <c r="F10" s="20"/>
      <c r="G10" s="20"/>
      <c r="H10" s="20"/>
      <c r="K10">
        <v>6</v>
      </c>
      <c r="L10" s="19"/>
      <c r="M10" s="19"/>
      <c r="N10" s="20"/>
      <c r="O10" s="20"/>
      <c r="P10" s="20"/>
    </row>
    <row r="12" spans="4:16" ht="12.75">
      <c r="D12" s="19" t="s">
        <v>38</v>
      </c>
      <c r="F12" t="s">
        <v>35</v>
      </c>
      <c r="H12" s="20">
        <f>SUM(H5:H10)</f>
        <v>11.291666666666668</v>
      </c>
      <c r="L12" s="19" t="s">
        <v>38</v>
      </c>
      <c r="N12" t="s">
        <v>35</v>
      </c>
      <c r="P12" s="20">
        <f>SUM(P5:P10)</f>
        <v>6.7968051711069855</v>
      </c>
    </row>
    <row r="13" spans="4:12" ht="12.75">
      <c r="D13" s="21">
        <v>3</v>
      </c>
      <c r="L13" s="21">
        <v>4</v>
      </c>
    </row>
    <row r="14" spans="5:13" ht="12.75">
      <c r="E14" t="s">
        <v>36</v>
      </c>
      <c r="M14" t="s">
        <v>36</v>
      </c>
    </row>
    <row r="15" spans="5:14" ht="12.75">
      <c r="E15" t="s">
        <v>37</v>
      </c>
      <c r="F15" s="17">
        <f>CHIDIST(H12,D13)</f>
        <v>0.010248881011662124</v>
      </c>
      <c r="M15" t="s">
        <v>37</v>
      </c>
      <c r="N15" s="17">
        <f>CHIDIST(P12,L13)</f>
        <v>0.1470237472695057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3"/>
  <sheetViews>
    <sheetView zoomScalePageLayoutView="0" workbookViewId="0" topLeftCell="A1">
      <selection activeCell="C30" sqref="C30"/>
    </sheetView>
  </sheetViews>
  <sheetFormatPr defaultColWidth="9.140625" defaultRowHeight="12.75"/>
  <cols>
    <col min="1" max="1" width="9.140625" style="1" customWidth="1"/>
    <col min="2" max="2" width="39.421875" style="1" customWidth="1"/>
    <col min="3" max="3" width="8.57421875" style="1" customWidth="1"/>
    <col min="4" max="4" width="9.140625" style="1" customWidth="1"/>
    <col min="5" max="5" width="1.28515625" style="1" customWidth="1"/>
    <col min="6" max="7" width="9.140625" style="1" customWidth="1"/>
    <col min="8" max="8" width="2.00390625" style="1" customWidth="1"/>
    <col min="9" max="9" width="15.28125" style="1" customWidth="1"/>
    <col min="10" max="10" width="3.00390625" style="1" customWidth="1"/>
    <col min="11" max="11" width="16.140625" style="1" customWidth="1"/>
    <col min="12" max="12" width="2.421875" style="1" customWidth="1"/>
    <col min="13" max="13" width="11.421875" style="1" customWidth="1"/>
    <col min="14" max="16384" width="9.140625" style="1" customWidth="1"/>
  </cols>
  <sheetData>
    <row r="1" spans="1:22" ht="12.75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</row>
    <row r="2" spans="1:22" ht="12.7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</row>
    <row r="3" spans="1:22" ht="12.75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</row>
    <row r="4" spans="1:22" ht="12.75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</row>
    <row r="5" spans="1:22" ht="12.75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</row>
    <row r="6" spans="1:22" ht="12.75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</row>
    <row r="7" spans="1:22" ht="12.75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</row>
    <row r="8" spans="1:22" ht="12.75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</row>
    <row r="9" spans="1:22" ht="12.75">
      <c r="A9" s="83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</row>
    <row r="10" spans="1:22" ht="12.75">
      <c r="A10" s="83"/>
      <c r="B10" s="83"/>
      <c r="C10" s="83"/>
      <c r="D10" s="83"/>
      <c r="E10" s="83"/>
      <c r="F10" s="83"/>
      <c r="G10" s="83"/>
      <c r="H10" s="83"/>
      <c r="I10" s="84"/>
      <c r="J10" s="84"/>
      <c r="K10" s="84"/>
      <c r="L10" s="84"/>
      <c r="M10" s="84"/>
      <c r="N10" s="83"/>
      <c r="O10" s="83"/>
      <c r="P10" s="83"/>
      <c r="Q10" s="83"/>
      <c r="R10" s="83"/>
      <c r="S10" s="83"/>
      <c r="T10" s="83"/>
      <c r="U10" s="83"/>
      <c r="V10" s="83"/>
    </row>
    <row r="11" spans="1:22" ht="12.75">
      <c r="A11" s="83"/>
      <c r="B11" s="83"/>
      <c r="C11" s="83" t="s">
        <v>138</v>
      </c>
      <c r="D11" s="83" t="s">
        <v>139</v>
      </c>
      <c r="F11" s="83"/>
      <c r="G11" s="83"/>
      <c r="H11" s="83"/>
      <c r="I11" s="173" t="s">
        <v>148</v>
      </c>
      <c r="J11" s="84"/>
      <c r="K11" s="84" t="s">
        <v>149</v>
      </c>
      <c r="L11" s="84"/>
      <c r="M11" s="84"/>
      <c r="N11" s="83"/>
      <c r="O11" s="83"/>
      <c r="P11" s="83"/>
      <c r="Q11" s="83"/>
      <c r="R11" s="83"/>
      <c r="S11" s="83"/>
      <c r="T11" s="83"/>
      <c r="U11" s="83"/>
      <c r="V11" s="83"/>
    </row>
    <row r="12" spans="1:22" ht="16.5" thickBot="1">
      <c r="A12" s="83"/>
      <c r="B12" s="170" t="s">
        <v>140</v>
      </c>
      <c r="C12" s="171">
        <f>0.6*60</f>
        <v>36</v>
      </c>
      <c r="D12" s="171">
        <f>0.8*100</f>
        <v>80</v>
      </c>
      <c r="E12" s="172"/>
      <c r="F12" s="83"/>
      <c r="G12" s="83" t="s">
        <v>144</v>
      </c>
      <c r="H12" s="169"/>
      <c r="I12" s="11">
        <f>C14-D14</f>
        <v>-0.22000000000000003</v>
      </c>
      <c r="J12" s="132" t="s">
        <v>147</v>
      </c>
      <c r="K12" s="175">
        <v>0</v>
      </c>
      <c r="L12" s="169"/>
      <c r="M12" s="170" t="s">
        <v>145</v>
      </c>
      <c r="N12" s="176">
        <f>(I12-K12)/I13</f>
        <v>-4.84835606993386</v>
      </c>
      <c r="O12" s="83"/>
      <c r="P12" s="83"/>
      <c r="Q12" s="83"/>
      <c r="R12" s="83"/>
      <c r="S12" s="83"/>
      <c r="T12" s="83"/>
      <c r="U12" s="83"/>
      <c r="V12" s="83"/>
    </row>
    <row r="13" spans="1:22" ht="12.75">
      <c r="A13" s="83"/>
      <c r="B13" s="170" t="s">
        <v>39</v>
      </c>
      <c r="C13" s="171">
        <v>200</v>
      </c>
      <c r="D13" s="171">
        <v>200</v>
      </c>
      <c r="E13" s="172"/>
      <c r="F13" s="83"/>
      <c r="G13" s="83"/>
      <c r="I13" s="177">
        <f>C21</f>
        <v>0.045376205218153706</v>
      </c>
      <c r="K13" s="83" t="s">
        <v>150</v>
      </c>
      <c r="L13" s="83"/>
      <c r="M13" s="83"/>
      <c r="O13" s="83"/>
      <c r="P13" s="83"/>
      <c r="Q13" s="83"/>
      <c r="R13" s="83"/>
      <c r="S13" s="83"/>
      <c r="T13" s="83"/>
      <c r="U13" s="83"/>
      <c r="V13" s="83"/>
    </row>
    <row r="14" spans="1:22" ht="12.75">
      <c r="A14" s="83"/>
      <c r="B14" s="173" t="s">
        <v>152</v>
      </c>
      <c r="C14" s="10">
        <f>C12/C13</f>
        <v>0.18</v>
      </c>
      <c r="D14" s="10">
        <f>D12/D13</f>
        <v>0.4</v>
      </c>
      <c r="E14" s="172"/>
      <c r="F14" s="83"/>
      <c r="G14" s="83"/>
      <c r="H14" s="83"/>
      <c r="I14" s="172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</row>
    <row r="15" spans="1:22" ht="12.75">
      <c r="A15" s="83"/>
      <c r="B15" s="173"/>
      <c r="C15" s="9"/>
      <c r="D15" s="9"/>
      <c r="E15" s="172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</row>
    <row r="16" spans="1:22" ht="12.75">
      <c r="A16" s="83"/>
      <c r="B16" s="83"/>
      <c r="C16" s="83" t="s">
        <v>151</v>
      </c>
      <c r="D16" s="172"/>
      <c r="E16" s="9"/>
      <c r="F16" s="83"/>
      <c r="G16" s="83"/>
      <c r="H16" s="83"/>
      <c r="I16" s="480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</row>
    <row r="17" spans="1:22" ht="12.75">
      <c r="A17" s="83"/>
      <c r="B17" s="170" t="s">
        <v>146</v>
      </c>
      <c r="C17" s="10">
        <f>(C12+D12)/(C13+D13)</f>
        <v>0.29</v>
      </c>
      <c r="D17" s="179" t="s">
        <v>141</v>
      </c>
      <c r="E17" s="83"/>
      <c r="F17" s="83"/>
      <c r="G17" s="83"/>
      <c r="H17" s="83"/>
      <c r="I17" s="480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</row>
    <row r="18" spans="1:22" ht="12.75">
      <c r="A18" s="83"/>
      <c r="C18" s="174"/>
      <c r="D18" s="9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</row>
    <row r="19" spans="1:22" ht="12.75">
      <c r="A19" s="83"/>
      <c r="B19" s="173" t="s">
        <v>153</v>
      </c>
      <c r="C19" s="10">
        <f>1-C17</f>
        <v>0.71</v>
      </c>
      <c r="D19" s="172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</row>
    <row r="20" spans="1:22" ht="12.75">
      <c r="A20" s="83"/>
      <c r="B20" s="173"/>
      <c r="C20" s="178"/>
      <c r="D20" s="172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</row>
    <row r="21" spans="1:22" ht="12.75">
      <c r="A21" s="83"/>
      <c r="B21" s="173" t="s">
        <v>142</v>
      </c>
      <c r="C21" s="10">
        <f>SQRT(C17*C19*(1/C13+1/D13))</f>
        <v>0.045376205218153706</v>
      </c>
      <c r="D21" s="172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</row>
    <row r="22" spans="1:22" ht="12.75">
      <c r="A22" s="83"/>
      <c r="B22" s="173" t="s">
        <v>143</v>
      </c>
      <c r="C22" s="172"/>
      <c r="D22" s="172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</row>
    <row r="23" spans="1:22" ht="12.75">
      <c r="A23" s="83"/>
      <c r="B23" s="83"/>
      <c r="C23" s="172"/>
      <c r="D23" s="172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</row>
    <row r="24" spans="1:22" ht="12.75">
      <c r="A24" s="83"/>
      <c r="B24" s="173" t="s">
        <v>144</v>
      </c>
      <c r="C24" s="10">
        <f>N12</f>
        <v>-4.84835606993386</v>
      </c>
      <c r="D24" s="172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</row>
    <row r="25" spans="1:22" ht="12.75">
      <c r="A25" s="83"/>
      <c r="B25" s="83"/>
      <c r="C25" s="174"/>
      <c r="D25" s="172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</row>
    <row r="26" spans="1:22" ht="12.75">
      <c r="A26" s="83"/>
      <c r="B26" s="170" t="s">
        <v>37</v>
      </c>
      <c r="C26" s="10">
        <f>1-NORMSDIST(ABS(C24))</f>
        <v>6.224441027047334E-07</v>
      </c>
      <c r="D26" s="172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</row>
    <row r="27" spans="1:22" ht="12.75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</row>
    <row r="28" spans="1:22" ht="12.75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</row>
    <row r="29" spans="1:22" ht="12.75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</row>
    <row r="30" spans="1:22" ht="12.75">
      <c r="A30" s="83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</row>
    <row r="31" spans="1:22" ht="12.75">
      <c r="A31" s="83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</row>
    <row r="32" spans="1:22" ht="12.75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</row>
    <row r="33" spans="1:22" ht="12.75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</row>
    <row r="34" spans="1:22" ht="12.75">
      <c r="A34" s="83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</row>
    <row r="35" spans="1:22" ht="12.75">
      <c r="A35" s="83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</row>
    <row r="36" spans="1:22" ht="12.75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</row>
    <row r="37" spans="1:16" ht="12.75">
      <c r="A37" s="83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</row>
    <row r="38" spans="1:16" ht="12.75">
      <c r="A38" s="83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</row>
    <row r="39" spans="1:16" ht="12.75">
      <c r="A39" s="83"/>
      <c r="B39" s="83"/>
      <c r="C39" s="83"/>
      <c r="D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</row>
    <row r="40" spans="1:16" ht="12.75">
      <c r="A40" s="83"/>
      <c r="B40" s="83"/>
      <c r="C40" s="83"/>
      <c r="D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</row>
    <row r="41" spans="3:16" ht="12.75">
      <c r="C41" s="83"/>
      <c r="D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</row>
    <row r="42" spans="6:16" ht="12.75"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</row>
    <row r="43" spans="6:16" ht="12.75"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</row>
  </sheetData>
  <sheetProtection/>
  <mergeCells count="1">
    <mergeCell ref="I16:I1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54"/>
  <sheetViews>
    <sheetView zoomScalePageLayoutView="0" workbookViewId="0" topLeftCell="A1">
      <selection activeCell="H55" sqref="H55"/>
    </sheetView>
  </sheetViews>
  <sheetFormatPr defaultColWidth="9.140625" defaultRowHeight="12.75"/>
  <cols>
    <col min="2" max="2" width="7.421875" style="0" customWidth="1"/>
    <col min="3" max="3" width="12.421875" style="0" customWidth="1"/>
    <col min="4" max="4" width="14.57421875" style="0" customWidth="1"/>
    <col min="5" max="5" width="12.57421875" style="0" customWidth="1"/>
    <col min="6" max="6" width="12.421875" style="0" customWidth="1"/>
    <col min="7" max="7" width="16.7109375" style="0" customWidth="1"/>
    <col min="8" max="8" width="15.140625" style="0" customWidth="1"/>
    <col min="9" max="9" width="4.00390625" style="0" customWidth="1"/>
    <col min="12" max="12" width="11.7109375" style="0" customWidth="1"/>
    <col min="14" max="14" width="2.140625" style="0" customWidth="1"/>
    <col min="15" max="15" width="10.57421875" style="0" customWidth="1"/>
  </cols>
  <sheetData>
    <row r="2" spans="4:10" ht="12.75">
      <c r="D2" s="245" t="s">
        <v>208</v>
      </c>
      <c r="F2" s="16" t="s">
        <v>206</v>
      </c>
      <c r="J2" s="16" t="s">
        <v>196</v>
      </c>
    </row>
    <row r="3" spans="4:10" ht="12.75">
      <c r="D3" s="16" t="s">
        <v>191</v>
      </c>
      <c r="J3" s="16" t="s">
        <v>197</v>
      </c>
    </row>
    <row r="4" spans="3:13" ht="13.5" thickBot="1">
      <c r="C4" s="218" t="s">
        <v>181</v>
      </c>
      <c r="D4" s="220" t="s">
        <v>182</v>
      </c>
      <c r="E4" s="220" t="s">
        <v>183</v>
      </c>
      <c r="F4" s="220" t="s">
        <v>184</v>
      </c>
      <c r="G4" s="233" t="s">
        <v>194</v>
      </c>
      <c r="J4" s="206" t="s">
        <v>30</v>
      </c>
      <c r="K4" s="246" t="s">
        <v>31</v>
      </c>
      <c r="L4" s="246" t="s">
        <v>209</v>
      </c>
      <c r="M4" s="246" t="s">
        <v>33</v>
      </c>
    </row>
    <row r="5" spans="3:17" ht="12.75">
      <c r="C5" s="219" t="s">
        <v>213</v>
      </c>
      <c r="D5" s="221">
        <v>1</v>
      </c>
      <c r="E5" s="222">
        <v>2</v>
      </c>
      <c r="F5" s="223">
        <v>3</v>
      </c>
      <c r="G5" s="224">
        <f>SUM(D5:F5)</f>
        <v>6</v>
      </c>
      <c r="I5" s="16" t="s">
        <v>198</v>
      </c>
      <c r="J5" s="106">
        <f>D5</f>
        <v>1</v>
      </c>
      <c r="K5" s="106">
        <f>D18</f>
        <v>1.6</v>
      </c>
      <c r="L5" s="106">
        <f>J5-K5</f>
        <v>-0.6000000000000001</v>
      </c>
      <c r="M5" s="254">
        <f aca="true" t="shared" si="0" ref="M5:M13">L5*L5/K5</f>
        <v>0.22500000000000006</v>
      </c>
      <c r="O5" s="218" t="s">
        <v>216</v>
      </c>
      <c r="P5" s="20">
        <f>CHIDIST(M15,J16)</f>
        <v>0.976470996387221</v>
      </c>
      <c r="Q5" t="s">
        <v>219</v>
      </c>
    </row>
    <row r="6" spans="3:17" ht="12.75">
      <c r="C6" s="219" t="s">
        <v>214</v>
      </c>
      <c r="D6" s="225">
        <v>4</v>
      </c>
      <c r="E6" s="15">
        <v>5</v>
      </c>
      <c r="F6" s="226">
        <v>6</v>
      </c>
      <c r="G6" s="224">
        <f>SUM(D6:F6)</f>
        <v>15</v>
      </c>
      <c r="I6" s="16" t="s">
        <v>199</v>
      </c>
      <c r="J6" s="106">
        <f>E5</f>
        <v>2</v>
      </c>
      <c r="K6" s="106">
        <f>E18</f>
        <v>2</v>
      </c>
      <c r="L6" s="106">
        <f aca="true" t="shared" si="1" ref="L6:L13">J6-K6</f>
        <v>0</v>
      </c>
      <c r="M6" s="254">
        <f t="shared" si="0"/>
        <v>0</v>
      </c>
      <c r="O6" s="218" t="s">
        <v>217</v>
      </c>
      <c r="P6" s="20">
        <f>CHIINV(L18,J16)</f>
        <v>0.4687500000000001</v>
      </c>
      <c r="Q6" t="s">
        <v>220</v>
      </c>
    </row>
    <row r="7" spans="3:17" ht="13.5" thickBot="1">
      <c r="C7" s="219" t="s">
        <v>215</v>
      </c>
      <c r="D7" s="227">
        <v>7</v>
      </c>
      <c r="E7" s="228">
        <v>8</v>
      </c>
      <c r="F7" s="229">
        <v>9</v>
      </c>
      <c r="G7" s="224">
        <f>SUM(D7:F7)</f>
        <v>24</v>
      </c>
      <c r="I7" s="16" t="s">
        <v>200</v>
      </c>
      <c r="J7" s="106">
        <f>F5</f>
        <v>3</v>
      </c>
      <c r="K7" s="106">
        <f>F18</f>
        <v>2.4</v>
      </c>
      <c r="L7" s="106">
        <f t="shared" si="1"/>
        <v>0.6000000000000001</v>
      </c>
      <c r="M7" s="254">
        <f t="shared" si="0"/>
        <v>0.15000000000000005</v>
      </c>
      <c r="O7" s="218" t="s">
        <v>218</v>
      </c>
      <c r="P7" s="20">
        <f>CHITEST(J5:J13,K5:K13)</f>
        <v>0.9998956899733842</v>
      </c>
      <c r="Q7" t="s">
        <v>221</v>
      </c>
    </row>
    <row r="8" spans="3:13" ht="12.75">
      <c r="C8" s="87" t="s">
        <v>193</v>
      </c>
      <c r="D8" s="230">
        <f>SUM(D5:D7)</f>
        <v>12</v>
      </c>
      <c r="E8" s="230">
        <f>SUM(E5:E7)</f>
        <v>15</v>
      </c>
      <c r="F8" s="230">
        <f>SUM(F5:F7)</f>
        <v>18</v>
      </c>
      <c r="G8" s="231">
        <f>SUM(G5:G7)</f>
        <v>45</v>
      </c>
      <c r="H8" t="s">
        <v>185</v>
      </c>
      <c r="I8" s="16" t="s">
        <v>198</v>
      </c>
      <c r="J8" s="106">
        <f>D6</f>
        <v>4</v>
      </c>
      <c r="K8" s="106">
        <f>D19</f>
        <v>4</v>
      </c>
      <c r="L8" s="106">
        <f t="shared" si="1"/>
        <v>0</v>
      </c>
      <c r="M8" s="254">
        <f t="shared" si="0"/>
        <v>0</v>
      </c>
    </row>
    <row r="9" spans="4:13" ht="12.75">
      <c r="D9" s="14"/>
      <c r="E9" s="14"/>
      <c r="F9" s="14"/>
      <c r="G9" s="231">
        <f>SUM(D8:F8)</f>
        <v>45</v>
      </c>
      <c r="H9" t="s">
        <v>186</v>
      </c>
      <c r="I9" s="16" t="s">
        <v>201</v>
      </c>
      <c r="J9" s="106">
        <f>E6</f>
        <v>5</v>
      </c>
      <c r="K9" s="106">
        <f>E19</f>
        <v>5</v>
      </c>
      <c r="L9" s="106">
        <f t="shared" si="1"/>
        <v>0</v>
      </c>
      <c r="M9" s="254">
        <f t="shared" si="0"/>
        <v>0</v>
      </c>
    </row>
    <row r="10" spans="3:13" ht="12.75">
      <c r="C10" s="232" t="s">
        <v>188</v>
      </c>
      <c r="E10" s="106">
        <f>(D12-1)*(E12-1)</f>
        <v>4</v>
      </c>
      <c r="G10" s="247" t="s">
        <v>187</v>
      </c>
      <c r="H10" s="16" t="s">
        <v>195</v>
      </c>
      <c r="I10" s="16" t="s">
        <v>202</v>
      </c>
      <c r="J10" s="106">
        <f>F6</f>
        <v>6</v>
      </c>
      <c r="K10" s="106">
        <f>F19</f>
        <v>6</v>
      </c>
      <c r="L10" s="106">
        <f t="shared" si="1"/>
        <v>0</v>
      </c>
      <c r="M10" s="254">
        <f t="shared" si="0"/>
        <v>0</v>
      </c>
    </row>
    <row r="11" spans="4:13" ht="12.75">
      <c r="D11" s="234" t="s">
        <v>189</v>
      </c>
      <c r="E11" s="234" t="s">
        <v>190</v>
      </c>
      <c r="I11" s="16" t="s">
        <v>203</v>
      </c>
      <c r="J11" s="106">
        <f>D7</f>
        <v>7</v>
      </c>
      <c r="K11" s="106">
        <f>D20</f>
        <v>6.4</v>
      </c>
      <c r="L11" s="106">
        <f t="shared" si="1"/>
        <v>0.5999999999999996</v>
      </c>
      <c r="M11" s="254">
        <f t="shared" si="0"/>
        <v>0.05624999999999993</v>
      </c>
    </row>
    <row r="12" spans="4:13" ht="12.75">
      <c r="D12" s="107">
        <v>3</v>
      </c>
      <c r="E12" s="107">
        <v>3</v>
      </c>
      <c r="I12" s="16" t="s">
        <v>204</v>
      </c>
      <c r="J12" s="106">
        <f>E7</f>
        <v>8</v>
      </c>
      <c r="K12" s="106">
        <f>E20</f>
        <v>8</v>
      </c>
      <c r="L12" s="106">
        <f t="shared" si="1"/>
        <v>0</v>
      </c>
      <c r="M12" s="254">
        <f t="shared" si="0"/>
        <v>0</v>
      </c>
    </row>
    <row r="13" spans="9:13" ht="12.75">
      <c r="I13" s="16" t="s">
        <v>205</v>
      </c>
      <c r="J13" s="106">
        <f>F7</f>
        <v>9</v>
      </c>
      <c r="K13" s="106">
        <f>F20</f>
        <v>9.6</v>
      </c>
      <c r="L13" s="106">
        <f t="shared" si="1"/>
        <v>-0.5999999999999996</v>
      </c>
      <c r="M13" s="254">
        <f t="shared" si="0"/>
        <v>0.03749999999999996</v>
      </c>
    </row>
    <row r="14" spans="10:13" ht="12.75">
      <c r="J14" s="14"/>
      <c r="K14" s="14"/>
      <c r="L14" s="14"/>
      <c r="M14" s="14"/>
    </row>
    <row r="15" spans="4:13" ht="12.75">
      <c r="D15" s="206" t="s">
        <v>192</v>
      </c>
      <c r="F15" s="16" t="s">
        <v>207</v>
      </c>
      <c r="J15" s="15" t="s">
        <v>38</v>
      </c>
      <c r="K15" s="14"/>
      <c r="L15" s="14" t="s">
        <v>35</v>
      </c>
      <c r="M15" s="106">
        <f>SUM(M5:M13)</f>
        <v>0.46875</v>
      </c>
    </row>
    <row r="16" spans="4:13" ht="15.75">
      <c r="D16" s="16" t="s">
        <v>225</v>
      </c>
      <c r="J16" s="106">
        <f>E10</f>
        <v>4</v>
      </c>
      <c r="K16" s="14"/>
      <c r="L16" s="14"/>
      <c r="M16" s="14"/>
    </row>
    <row r="17" spans="3:11" ht="13.5" thickBot="1">
      <c r="C17" s="218" t="s">
        <v>181</v>
      </c>
      <c r="D17" s="220" t="str">
        <f>D4</f>
        <v>perference1</v>
      </c>
      <c r="E17" s="220" t="str">
        <f>E4</f>
        <v>preference2</v>
      </c>
      <c r="F17" s="220" t="str">
        <f>F4</f>
        <v>preference3</v>
      </c>
      <c r="G17" s="233" t="s">
        <v>194</v>
      </c>
      <c r="K17" t="s">
        <v>36</v>
      </c>
    </row>
    <row r="18" spans="3:12" ht="12.75">
      <c r="C18" s="219" t="str">
        <f>C5</f>
        <v>subgroup1</v>
      </c>
      <c r="D18" s="235">
        <f>G18*D21/G21</f>
        <v>1.6</v>
      </c>
      <c r="E18" s="236">
        <f>G18*E21/G21</f>
        <v>2</v>
      </c>
      <c r="F18" s="237">
        <f>G18*F21/G21</f>
        <v>2.4</v>
      </c>
      <c r="G18" s="243">
        <f>G5</f>
        <v>6</v>
      </c>
      <c r="K18" t="s">
        <v>37</v>
      </c>
      <c r="L18" s="20">
        <f>CHIDIST(M15,J16)</f>
        <v>0.976470996387221</v>
      </c>
    </row>
    <row r="19" spans="3:7" ht="12.75">
      <c r="C19" s="219" t="str">
        <f>C6</f>
        <v>subgroup2</v>
      </c>
      <c r="D19" s="238">
        <f>G19*D21/G21</f>
        <v>4</v>
      </c>
      <c r="E19" s="106">
        <f>G19*E21/G21</f>
        <v>5</v>
      </c>
      <c r="F19" s="239">
        <f>G19*F21/G21</f>
        <v>6</v>
      </c>
      <c r="G19" s="243">
        <f>G6</f>
        <v>15</v>
      </c>
    </row>
    <row r="20" spans="3:7" ht="13.5" thickBot="1">
      <c r="C20" s="219" t="str">
        <f>C7</f>
        <v>subgroup3</v>
      </c>
      <c r="D20" s="240">
        <f>G20*D21/G21</f>
        <v>6.4</v>
      </c>
      <c r="E20" s="241">
        <f>G20*E21/G21</f>
        <v>8</v>
      </c>
      <c r="F20" s="244">
        <f>G20*F21/G21</f>
        <v>9.6</v>
      </c>
      <c r="G20" s="243">
        <f>G7</f>
        <v>24</v>
      </c>
    </row>
    <row r="21" spans="3:7" ht="12.75">
      <c r="C21" s="87" t="s">
        <v>193</v>
      </c>
      <c r="D21" s="242">
        <f>D8</f>
        <v>12</v>
      </c>
      <c r="E21" s="242">
        <f>E8</f>
        <v>15</v>
      </c>
      <c r="F21" s="242">
        <f>F8</f>
        <v>18</v>
      </c>
      <c r="G21" s="248">
        <f>SUM(G18:G20)</f>
        <v>45</v>
      </c>
    </row>
    <row r="22" spans="4:7" ht="12.75">
      <c r="D22" s="14"/>
      <c r="E22" s="14"/>
      <c r="F22" s="14"/>
      <c r="G22" s="248">
        <f>SUM(D21:F21)</f>
        <v>45</v>
      </c>
    </row>
    <row r="23" spans="3:7" ht="12.75">
      <c r="C23" s="232"/>
      <c r="D23" s="3"/>
      <c r="E23" s="131"/>
      <c r="G23" s="249" t="s">
        <v>187</v>
      </c>
    </row>
    <row r="24" spans="3:5" s="251" customFormat="1" ht="12.75">
      <c r="C24" s="252"/>
      <c r="D24" s="253"/>
      <c r="E24" s="253"/>
    </row>
    <row r="25" spans="1:15" s="1" customFormat="1" ht="12.75">
      <c r="A25" s="217"/>
      <c r="B25" s="217"/>
      <c r="C25" s="84"/>
      <c r="D25" s="9"/>
      <c r="E25" s="9"/>
      <c r="F25" s="217"/>
      <c r="G25" s="217"/>
      <c r="H25" s="217"/>
      <c r="I25" s="217"/>
      <c r="J25" s="217"/>
      <c r="K25" s="217"/>
      <c r="L25" s="217"/>
      <c r="M25" s="217"/>
      <c r="N25" s="217"/>
      <c r="O25" s="217"/>
    </row>
    <row r="26" spans="1:15" s="1" customFormat="1" ht="12.75">
      <c r="A26" s="217"/>
      <c r="B26" s="217"/>
      <c r="C26" s="84"/>
      <c r="D26" s="84"/>
      <c r="E26" s="84"/>
      <c r="F26" s="217"/>
      <c r="G26" s="217"/>
      <c r="H26" s="217"/>
      <c r="I26" s="217"/>
      <c r="J26" s="217"/>
      <c r="K26" s="217"/>
      <c r="L26" s="217"/>
      <c r="M26" s="217"/>
      <c r="N26" s="217"/>
      <c r="O26" s="217"/>
    </row>
    <row r="27" spans="1:15" s="1" customFormat="1" ht="12.75">
      <c r="A27" s="217"/>
      <c r="B27" s="217"/>
      <c r="C27" s="217"/>
      <c r="D27" s="170" t="s">
        <v>208</v>
      </c>
      <c r="E27" s="217"/>
      <c r="F27" s="217" t="s">
        <v>206</v>
      </c>
      <c r="G27" s="217"/>
      <c r="H27" s="217"/>
      <c r="I27" s="217"/>
      <c r="J27" s="217" t="s">
        <v>196</v>
      </c>
      <c r="K27" s="217"/>
      <c r="L27" s="217"/>
      <c r="M27" s="217"/>
      <c r="N27" s="217"/>
      <c r="O27" s="217"/>
    </row>
    <row r="28" spans="1:16" s="1" customFormat="1" ht="12.75">
      <c r="A28" s="217"/>
      <c r="B28" s="217"/>
      <c r="C28" s="217"/>
      <c r="D28" s="217" t="s">
        <v>191</v>
      </c>
      <c r="E28" s="217"/>
      <c r="F28" s="217"/>
      <c r="G28" s="217"/>
      <c r="H28" s="217"/>
      <c r="I28" s="217"/>
      <c r="J28" s="217" t="s">
        <v>197</v>
      </c>
      <c r="K28" s="217"/>
      <c r="L28" s="217"/>
      <c r="M28" s="217"/>
      <c r="N28" s="217"/>
      <c r="O28" s="217"/>
      <c r="P28" s="256"/>
    </row>
    <row r="29" spans="1:16" s="1" customFormat="1" ht="13.5" thickBot="1">
      <c r="A29" s="217"/>
      <c r="B29" s="217"/>
      <c r="C29" s="170" t="s">
        <v>181</v>
      </c>
      <c r="D29" s="257" t="s">
        <v>227</v>
      </c>
      <c r="E29" s="257" t="s">
        <v>226</v>
      </c>
      <c r="F29" s="257" t="s">
        <v>228</v>
      </c>
      <c r="G29" s="258" t="s">
        <v>194</v>
      </c>
      <c r="H29" s="217"/>
      <c r="I29" s="217"/>
      <c r="J29" s="172" t="s">
        <v>30</v>
      </c>
      <c r="K29" s="9" t="s">
        <v>31</v>
      </c>
      <c r="L29" s="9" t="s">
        <v>209</v>
      </c>
      <c r="M29" s="9" t="s">
        <v>34</v>
      </c>
      <c r="N29" s="217"/>
      <c r="O29" s="217"/>
      <c r="P29" s="256"/>
    </row>
    <row r="30" spans="1:16" s="1" customFormat="1" ht="12.75">
      <c r="A30" s="217"/>
      <c r="B30" s="217"/>
      <c r="C30" s="285" t="s">
        <v>210</v>
      </c>
      <c r="D30" s="259">
        <v>5</v>
      </c>
      <c r="E30" s="260">
        <v>12</v>
      </c>
      <c r="F30" s="261">
        <v>8</v>
      </c>
      <c r="G30" s="262">
        <f>SUM(D30:F30)</f>
        <v>25</v>
      </c>
      <c r="H30" s="217"/>
      <c r="I30" s="217" t="s">
        <v>198</v>
      </c>
      <c r="J30" s="10">
        <f>D30</f>
        <v>5</v>
      </c>
      <c r="K30" s="263">
        <f>D43</f>
        <v>8.666666666666666</v>
      </c>
      <c r="L30" s="263">
        <f aca="true" t="shared" si="2" ref="L30:L38">J30-K30</f>
        <v>-3.666666666666666</v>
      </c>
      <c r="M30" s="263">
        <f aca="true" t="shared" si="3" ref="M30:M38">L30*L30/K30</f>
        <v>1.5512820512820509</v>
      </c>
      <c r="P30" s="256"/>
    </row>
    <row r="31" spans="1:13" s="1" customFormat="1" ht="12.75">
      <c r="A31" s="217"/>
      <c r="B31" s="217"/>
      <c r="C31" s="285" t="s">
        <v>211</v>
      </c>
      <c r="D31" s="264">
        <v>6</v>
      </c>
      <c r="E31" s="82">
        <v>14</v>
      </c>
      <c r="F31" s="265">
        <v>5</v>
      </c>
      <c r="G31" s="262">
        <f>SUM(D31:F31)</f>
        <v>25</v>
      </c>
      <c r="H31" s="217"/>
      <c r="I31" s="217" t="s">
        <v>199</v>
      </c>
      <c r="J31" s="10">
        <f>E30</f>
        <v>12</v>
      </c>
      <c r="K31" s="263">
        <f>E43</f>
        <v>10.333333333333334</v>
      </c>
      <c r="L31" s="263">
        <f t="shared" si="2"/>
        <v>1.666666666666666</v>
      </c>
      <c r="M31" s="263">
        <f t="shared" si="3"/>
        <v>0.2688172043010751</v>
      </c>
    </row>
    <row r="32" spans="1:16" s="1" customFormat="1" ht="13.5" thickBot="1">
      <c r="A32" s="217"/>
      <c r="B32" s="217"/>
      <c r="C32" s="285" t="s">
        <v>212</v>
      </c>
      <c r="D32" s="266">
        <v>15</v>
      </c>
      <c r="E32" s="267">
        <v>5</v>
      </c>
      <c r="F32" s="268">
        <v>5</v>
      </c>
      <c r="G32" s="262">
        <f>SUM(D32:F32)</f>
        <v>25</v>
      </c>
      <c r="H32" s="217"/>
      <c r="I32" s="217" t="s">
        <v>200</v>
      </c>
      <c r="J32" s="10">
        <f>F30</f>
        <v>8</v>
      </c>
      <c r="K32" s="263">
        <f>F43</f>
        <v>6</v>
      </c>
      <c r="L32" s="263">
        <f t="shared" si="2"/>
        <v>2</v>
      </c>
      <c r="M32" s="263">
        <f t="shared" si="3"/>
        <v>0.6666666666666666</v>
      </c>
      <c r="P32" s="256"/>
    </row>
    <row r="33" spans="1:16" s="1" customFormat="1" ht="12.75">
      <c r="A33" s="217"/>
      <c r="B33" s="217"/>
      <c r="C33" s="286" t="s">
        <v>193</v>
      </c>
      <c r="D33" s="177">
        <f>SUM(D30:D32)</f>
        <v>26</v>
      </c>
      <c r="E33" s="177">
        <f>SUM(E30:E32)</f>
        <v>31</v>
      </c>
      <c r="F33" s="177">
        <f>SUM(F30:F32)</f>
        <v>18</v>
      </c>
      <c r="G33" s="269">
        <f>SUM(G30:G32)</f>
        <v>75</v>
      </c>
      <c r="H33" s="217" t="s">
        <v>185</v>
      </c>
      <c r="I33" s="217" t="s">
        <v>198</v>
      </c>
      <c r="J33" s="10">
        <f>D31</f>
        <v>6</v>
      </c>
      <c r="K33" s="263">
        <f>D44</f>
        <v>8.666666666666666</v>
      </c>
      <c r="L33" s="263">
        <f t="shared" si="2"/>
        <v>-2.666666666666666</v>
      </c>
      <c r="M33" s="263">
        <f t="shared" si="3"/>
        <v>0.8205128205128203</v>
      </c>
      <c r="P33" s="256"/>
    </row>
    <row r="34" spans="1:16" s="1" customFormat="1" ht="12.75">
      <c r="A34" s="217"/>
      <c r="B34" s="217"/>
      <c r="C34" s="217"/>
      <c r="D34" s="172"/>
      <c r="E34" s="172"/>
      <c r="F34" s="172"/>
      <c r="G34" s="269">
        <f>SUM(D33:F33)</f>
        <v>75</v>
      </c>
      <c r="H34" s="217" t="s">
        <v>186</v>
      </c>
      <c r="I34" s="217" t="s">
        <v>201</v>
      </c>
      <c r="J34" s="10">
        <f>E31</f>
        <v>14</v>
      </c>
      <c r="K34" s="263">
        <f>E44</f>
        <v>10.333333333333334</v>
      </c>
      <c r="L34" s="263">
        <f t="shared" si="2"/>
        <v>3.666666666666666</v>
      </c>
      <c r="M34" s="263">
        <f t="shared" si="3"/>
        <v>1.3010752688172038</v>
      </c>
      <c r="P34" s="256"/>
    </row>
    <row r="35" spans="1:13" s="1" customFormat="1" ht="12.75">
      <c r="A35" s="217"/>
      <c r="B35" s="217"/>
      <c r="C35" s="287" t="s">
        <v>188</v>
      </c>
      <c r="D35" s="217"/>
      <c r="E35" s="10">
        <f>(D37-1)*(E37-1)</f>
        <v>4</v>
      </c>
      <c r="F35" s="217"/>
      <c r="G35" s="270" t="s">
        <v>187</v>
      </c>
      <c r="H35" s="217" t="s">
        <v>195</v>
      </c>
      <c r="I35" s="217" t="s">
        <v>202</v>
      </c>
      <c r="J35" s="10">
        <f>F31</f>
        <v>5</v>
      </c>
      <c r="K35" s="263">
        <f>F44</f>
        <v>6</v>
      </c>
      <c r="L35" s="263">
        <f t="shared" si="2"/>
        <v>-1</v>
      </c>
      <c r="M35" s="263">
        <f t="shared" si="3"/>
        <v>0.16666666666666666</v>
      </c>
    </row>
    <row r="36" spans="1:16" s="1" customFormat="1" ht="12.75">
      <c r="A36" s="217"/>
      <c r="B36" s="217"/>
      <c r="C36" s="217"/>
      <c r="D36" s="271" t="s">
        <v>189</v>
      </c>
      <c r="E36" s="271" t="s">
        <v>190</v>
      </c>
      <c r="F36" s="217"/>
      <c r="G36" s="217"/>
      <c r="H36" s="217"/>
      <c r="I36" s="217" t="s">
        <v>203</v>
      </c>
      <c r="J36" s="10">
        <f>D32</f>
        <v>15</v>
      </c>
      <c r="K36" s="263">
        <f>D45</f>
        <v>8.666666666666666</v>
      </c>
      <c r="L36" s="263">
        <f t="shared" si="2"/>
        <v>6.333333333333334</v>
      </c>
      <c r="M36" s="263">
        <f t="shared" si="3"/>
        <v>4.6282051282051295</v>
      </c>
      <c r="P36" s="256"/>
    </row>
    <row r="37" spans="1:16" s="1" customFormat="1" ht="12.75">
      <c r="A37" s="217"/>
      <c r="B37" s="217"/>
      <c r="C37" s="217"/>
      <c r="D37" s="272">
        <v>3</v>
      </c>
      <c r="E37" s="272">
        <v>3</v>
      </c>
      <c r="F37" s="217"/>
      <c r="G37" s="217"/>
      <c r="H37" s="217"/>
      <c r="I37" s="217" t="s">
        <v>204</v>
      </c>
      <c r="J37" s="10">
        <f>E32</f>
        <v>5</v>
      </c>
      <c r="K37" s="263">
        <f>E45</f>
        <v>10.333333333333334</v>
      </c>
      <c r="L37" s="263">
        <f t="shared" si="2"/>
        <v>-5.333333333333334</v>
      </c>
      <c r="M37" s="263">
        <f t="shared" si="3"/>
        <v>2.752688172043011</v>
      </c>
      <c r="P37" s="256"/>
    </row>
    <row r="38" spans="1:13" s="1" customFormat="1" ht="12.75">
      <c r="A38" s="217"/>
      <c r="B38" s="217"/>
      <c r="C38" s="217"/>
      <c r="F38" s="217"/>
      <c r="H38" s="217"/>
      <c r="I38" s="217" t="s">
        <v>205</v>
      </c>
      <c r="J38" s="10">
        <f>F32</f>
        <v>5</v>
      </c>
      <c r="K38" s="263">
        <f>F45</f>
        <v>6</v>
      </c>
      <c r="L38" s="263">
        <f t="shared" si="2"/>
        <v>-1</v>
      </c>
      <c r="M38" s="263">
        <f t="shared" si="3"/>
        <v>0.16666666666666666</v>
      </c>
    </row>
    <row r="39" spans="1:14" s="1" customFormat="1" ht="12.75">
      <c r="A39" s="217"/>
      <c r="B39" s="217"/>
      <c r="C39" s="217"/>
      <c r="D39" s="217"/>
      <c r="E39" s="217"/>
      <c r="F39" s="217"/>
      <c r="G39" s="217"/>
      <c r="H39" s="217"/>
      <c r="I39" s="217"/>
      <c r="J39" s="172"/>
      <c r="K39" s="172"/>
      <c r="L39" s="172"/>
      <c r="M39" s="172"/>
      <c r="N39" s="217"/>
    </row>
    <row r="40" spans="1:13" s="1" customFormat="1" ht="12.75">
      <c r="A40" s="217"/>
      <c r="B40" s="217"/>
      <c r="C40" s="217"/>
      <c r="D40" s="172" t="s">
        <v>192</v>
      </c>
      <c r="E40" s="217"/>
      <c r="F40" s="217" t="s">
        <v>207</v>
      </c>
      <c r="G40" s="217"/>
      <c r="H40" s="217"/>
      <c r="I40" s="217"/>
      <c r="J40" s="82" t="s">
        <v>38</v>
      </c>
      <c r="K40" s="172"/>
      <c r="L40" s="174" t="s">
        <v>35</v>
      </c>
      <c r="M40" s="10">
        <f>SUM(M30:M38)</f>
        <v>12.32258064516129</v>
      </c>
    </row>
    <row r="41" spans="1:13" s="1" customFormat="1" ht="14.25">
      <c r="A41" s="217"/>
      <c r="B41" s="217"/>
      <c r="C41" s="217"/>
      <c r="D41" s="250" t="s">
        <v>224</v>
      </c>
      <c r="E41" s="217"/>
      <c r="F41" s="217"/>
      <c r="G41" s="217"/>
      <c r="H41" s="217"/>
      <c r="I41" s="217"/>
      <c r="J41" s="10">
        <f>E35</f>
        <v>4</v>
      </c>
      <c r="K41" s="172"/>
      <c r="L41" s="172"/>
      <c r="M41" s="172"/>
    </row>
    <row r="42" spans="1:13" s="1" customFormat="1" ht="13.5" thickBot="1">
      <c r="A42" s="217"/>
      <c r="B42" s="217"/>
      <c r="C42" s="170" t="s">
        <v>181</v>
      </c>
      <c r="D42" s="257" t="str">
        <f>D29</f>
        <v>4 to 6.5 hours</v>
      </c>
      <c r="E42" s="257" t="str">
        <f>E29</f>
        <v>6.5 to 8 hours</v>
      </c>
      <c r="F42" s="257" t="str">
        <f>F29</f>
        <v>8 to 10.5 hrs.</v>
      </c>
      <c r="G42" s="258" t="s">
        <v>194</v>
      </c>
      <c r="H42" s="217"/>
      <c r="I42" s="217"/>
      <c r="J42" s="217"/>
      <c r="K42" s="217" t="s">
        <v>36</v>
      </c>
      <c r="M42" s="217"/>
    </row>
    <row r="43" spans="1:13" s="1" customFormat="1" ht="12.75">
      <c r="A43" s="217"/>
      <c r="B43" s="217"/>
      <c r="C43" s="285" t="str">
        <f>C30</f>
        <v>preteens</v>
      </c>
      <c r="D43" s="273">
        <f>G43*D46/G46</f>
        <v>8.666666666666666</v>
      </c>
      <c r="E43" s="274">
        <f>G43*E46/G46</f>
        <v>10.333333333333334</v>
      </c>
      <c r="F43" s="275">
        <f>G43*F46/G46</f>
        <v>6</v>
      </c>
      <c r="G43" s="276">
        <f>G30</f>
        <v>25</v>
      </c>
      <c r="H43" s="217"/>
      <c r="I43" s="217"/>
      <c r="J43" s="217"/>
      <c r="K43" s="217" t="s">
        <v>37</v>
      </c>
      <c r="L43" s="176">
        <f>CHIDIST(M40,J41)</f>
        <v>0.015106953490344141</v>
      </c>
      <c r="M43" s="217"/>
    </row>
    <row r="44" spans="1:13" s="1" customFormat="1" ht="12.75">
      <c r="A44" s="217"/>
      <c r="B44" s="217"/>
      <c r="C44" s="285" t="str">
        <f>C31</f>
        <v>teens</v>
      </c>
      <c r="D44" s="277">
        <f>G44*D46/G46</f>
        <v>8.666666666666666</v>
      </c>
      <c r="E44" s="278">
        <f>G44*E46/G46</f>
        <v>10.333333333333334</v>
      </c>
      <c r="F44" s="279">
        <f>G44*F46/G46</f>
        <v>6</v>
      </c>
      <c r="G44" s="276">
        <f>G31</f>
        <v>25</v>
      </c>
      <c r="H44" s="217"/>
      <c r="I44" s="217"/>
      <c r="J44" s="217"/>
      <c r="K44" s="217"/>
      <c r="L44" s="217"/>
      <c r="M44" s="217"/>
    </row>
    <row r="45" spans="1:13" s="1" customFormat="1" ht="13.5" thickBot="1">
      <c r="A45" s="217"/>
      <c r="B45" s="217"/>
      <c r="C45" s="285" t="str">
        <f>C32</f>
        <v>college kids</v>
      </c>
      <c r="D45" s="280">
        <f>G45*D46/G46</f>
        <v>8.666666666666666</v>
      </c>
      <c r="E45" s="281">
        <f>G45*E46/G46</f>
        <v>10.333333333333334</v>
      </c>
      <c r="F45" s="282">
        <f>G45*F46/G46</f>
        <v>6</v>
      </c>
      <c r="G45" s="276">
        <f>G32</f>
        <v>25</v>
      </c>
      <c r="H45" s="217"/>
      <c r="I45" s="217"/>
      <c r="J45" s="217"/>
      <c r="K45" s="217"/>
      <c r="L45" s="217"/>
      <c r="M45" s="217"/>
    </row>
    <row r="46" spans="1:13" s="1" customFormat="1" ht="12.75">
      <c r="A46" s="217"/>
      <c r="B46" s="217"/>
      <c r="C46" s="286" t="s">
        <v>193</v>
      </c>
      <c r="D46" s="283">
        <f>D33</f>
        <v>26</v>
      </c>
      <c r="E46" s="283">
        <f>E33</f>
        <v>31</v>
      </c>
      <c r="F46" s="283">
        <f>F33</f>
        <v>18</v>
      </c>
      <c r="G46" s="284">
        <f>SUM(G43:G45)</f>
        <v>75</v>
      </c>
      <c r="H46" s="217"/>
      <c r="I46" s="217"/>
      <c r="J46" s="217"/>
      <c r="K46" s="217"/>
      <c r="L46" s="217"/>
      <c r="M46" s="217"/>
    </row>
    <row r="47" spans="1:13" s="1" customFormat="1" ht="12.75">
      <c r="A47" s="217"/>
      <c r="B47" s="217"/>
      <c r="C47" s="217"/>
      <c r="D47" s="172"/>
      <c r="E47" s="172"/>
      <c r="F47" s="172"/>
      <c r="G47" s="288"/>
      <c r="H47" s="217"/>
      <c r="I47" s="217"/>
      <c r="J47" s="217"/>
      <c r="K47" s="217"/>
      <c r="L47" s="217"/>
      <c r="M47" s="217"/>
    </row>
    <row r="48" spans="1:14" s="1" customFormat="1" ht="12.75">
      <c r="A48" s="217"/>
      <c r="B48" s="217"/>
      <c r="C48" s="287"/>
      <c r="D48" s="84"/>
      <c r="E48" s="9"/>
      <c r="F48" s="217"/>
      <c r="G48" s="289"/>
      <c r="H48" s="217"/>
      <c r="I48" s="217"/>
      <c r="J48" s="217"/>
      <c r="K48" s="217"/>
      <c r="L48" s="217"/>
      <c r="M48" s="217"/>
      <c r="N48" s="217"/>
    </row>
    <row r="49" spans="1:14" s="1" customFormat="1" ht="12.75">
      <c r="A49" s="217"/>
      <c r="B49" s="217"/>
      <c r="C49" s="84"/>
      <c r="D49" s="9"/>
      <c r="E49" s="9"/>
      <c r="F49" s="217"/>
      <c r="G49" s="217"/>
      <c r="H49" s="217"/>
      <c r="I49" s="217"/>
      <c r="J49" s="217"/>
      <c r="K49" s="217"/>
      <c r="L49" s="217"/>
      <c r="M49" s="217"/>
      <c r="N49" s="217"/>
    </row>
    <row r="50" spans="1:14" s="1" customFormat="1" ht="12.75">
      <c r="A50" s="217"/>
      <c r="B50" s="217"/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</row>
    <row r="51" spans="3:14" s="1" customFormat="1" ht="12.75">
      <c r="C51" s="217"/>
      <c r="D51" s="217"/>
      <c r="E51" s="217"/>
      <c r="F51" s="217"/>
      <c r="G51" s="217"/>
      <c r="H51" s="217"/>
      <c r="I51" s="217"/>
      <c r="J51" s="217"/>
      <c r="K51" s="217"/>
      <c r="L51" s="217"/>
      <c r="M51" s="217"/>
      <c r="N51" s="217"/>
    </row>
    <row r="52" spans="7:14" s="1" customFormat="1" ht="12.75">
      <c r="G52" s="217"/>
      <c r="H52" s="217"/>
      <c r="I52" s="217"/>
      <c r="J52" s="217"/>
      <c r="K52" s="217"/>
      <c r="L52" s="217"/>
      <c r="M52" s="217"/>
      <c r="N52" s="217"/>
    </row>
    <row r="53" spans="8:9" s="1" customFormat="1" ht="12.75">
      <c r="H53" s="217"/>
      <c r="I53" s="217"/>
    </row>
    <row r="54" spans="8:9" s="1" customFormat="1" ht="12.75">
      <c r="H54" s="217"/>
      <c r="I54" s="217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I56"/>
  <sheetViews>
    <sheetView zoomScale="80" zoomScaleNormal="80" zoomScalePageLayoutView="0" workbookViewId="0" topLeftCell="A1">
      <selection activeCell="P3" sqref="P3"/>
    </sheetView>
  </sheetViews>
  <sheetFormatPr defaultColWidth="9.140625" defaultRowHeight="12.75"/>
  <cols>
    <col min="1" max="1" width="4.28125" style="24" customWidth="1"/>
    <col min="2" max="2" width="11.00390625" style="0" customWidth="1"/>
    <col min="3" max="3" width="9.140625" style="0" customWidth="1"/>
    <col min="4" max="4" width="13.28125" style="0" customWidth="1"/>
    <col min="5" max="5" width="9.140625" style="24" customWidth="1"/>
    <col min="6" max="6" width="4.421875" style="24" customWidth="1"/>
    <col min="7" max="7" width="6.28125" style="24" customWidth="1"/>
    <col min="8" max="8" width="9.140625" style="24" customWidth="1"/>
    <col min="9" max="9" width="0.9921875" style="24" customWidth="1"/>
    <col min="10" max="10" width="3.140625" style="0" customWidth="1"/>
    <col min="11" max="11" width="9.140625" style="0" customWidth="1"/>
    <col min="12" max="12" width="9.8515625" style="0" customWidth="1"/>
    <col min="13" max="13" width="10.140625" style="0" customWidth="1"/>
    <col min="14" max="14" width="13.28125" style="0" customWidth="1"/>
    <col min="15" max="15" width="13.00390625" style="0" customWidth="1"/>
    <col min="16" max="16" width="9.8515625" style="0" customWidth="1"/>
    <col min="17" max="17" width="12.57421875" style="0" customWidth="1"/>
    <col min="18" max="18" width="11.140625" style="0" customWidth="1"/>
    <col min="19" max="19" width="17.7109375" style="0" customWidth="1"/>
    <col min="20" max="20" width="13.00390625" style="0" customWidth="1"/>
    <col min="21" max="21" width="9.140625" style="7" customWidth="1"/>
    <col min="22" max="22" width="1.8515625" style="0" customWidth="1"/>
    <col min="24" max="24" width="7.7109375" style="0" customWidth="1"/>
    <col min="25" max="25" width="8.7109375" style="0" customWidth="1"/>
    <col min="27" max="27" width="2.8515625" style="0" customWidth="1"/>
    <col min="28" max="28" width="1.57421875" style="7" customWidth="1"/>
    <col min="29" max="29" width="2.7109375" style="0" customWidth="1"/>
    <col min="30" max="30" width="9.8515625" style="0" customWidth="1"/>
    <col min="31" max="31" width="9.57421875" style="0" customWidth="1"/>
    <col min="32" max="32" width="9.140625" style="0" customWidth="1"/>
    <col min="33" max="33" width="9.421875" style="0" customWidth="1"/>
    <col min="34" max="34" width="10.7109375" style="0" customWidth="1"/>
    <col min="35" max="35" width="0.85546875" style="0" customWidth="1"/>
    <col min="36" max="36" width="9.140625" style="7" customWidth="1"/>
  </cols>
  <sheetData>
    <row r="2" spans="1:35" ht="15.75">
      <c r="A2" s="31"/>
      <c r="B2" s="31"/>
      <c r="C2" s="31"/>
      <c r="D2" s="31"/>
      <c r="E2" s="31"/>
      <c r="F2" s="31"/>
      <c r="G2" s="31"/>
      <c r="H2" s="31"/>
      <c r="I2" s="31"/>
      <c r="J2" s="32"/>
      <c r="K2" s="32"/>
      <c r="L2" s="32"/>
      <c r="M2" s="32"/>
      <c r="N2" s="32"/>
      <c r="O2" s="32" t="s">
        <v>55</v>
      </c>
      <c r="P2" s="32"/>
      <c r="Q2" s="32"/>
      <c r="R2" s="32"/>
      <c r="S2" s="32"/>
      <c r="T2" s="32"/>
      <c r="V2" s="25" t="s">
        <v>45</v>
      </c>
      <c r="W2" s="31"/>
      <c r="X2" s="31"/>
      <c r="Y2" s="31"/>
      <c r="Z2" s="31"/>
      <c r="AA2" s="31"/>
      <c r="AB2" s="83"/>
      <c r="AC2" s="39" t="s">
        <v>51</v>
      </c>
      <c r="AD2" s="32"/>
      <c r="AE2" s="32"/>
      <c r="AF2" s="32"/>
      <c r="AG2" s="32" t="s">
        <v>82</v>
      </c>
      <c r="AH2" s="32"/>
      <c r="AI2" s="23"/>
    </row>
    <row r="3" spans="1:35" ht="12.75">
      <c r="A3" s="31"/>
      <c r="B3" s="31"/>
      <c r="C3" s="31"/>
      <c r="D3" s="31"/>
      <c r="E3" s="31"/>
      <c r="F3" s="31"/>
      <c r="G3" s="33" t="s">
        <v>7</v>
      </c>
      <c r="H3" s="34">
        <f>B20</f>
        <v>164.5</v>
      </c>
      <c r="I3" s="31"/>
      <c r="J3" s="32"/>
      <c r="K3" s="32"/>
      <c r="L3" s="32"/>
      <c r="M3" s="32"/>
      <c r="N3" s="32"/>
      <c r="O3" s="35" t="s">
        <v>7</v>
      </c>
      <c r="P3" s="34">
        <f>H3</f>
        <v>164.5</v>
      </c>
      <c r="Q3" s="32" t="s">
        <v>67</v>
      </c>
      <c r="R3" s="32"/>
      <c r="S3" s="32"/>
      <c r="T3" s="32"/>
      <c r="V3" s="24"/>
      <c r="W3" s="31"/>
      <c r="X3" s="31"/>
      <c r="Y3" s="33" t="s">
        <v>7</v>
      </c>
      <c r="Z3" s="38">
        <f>W13</f>
        <v>110</v>
      </c>
      <c r="AA3" s="31"/>
      <c r="AB3" s="83"/>
      <c r="AC3" s="32"/>
      <c r="AD3" s="32"/>
      <c r="AE3" s="32"/>
      <c r="AF3" s="32"/>
      <c r="AG3" s="35" t="s">
        <v>7</v>
      </c>
      <c r="AH3" s="38">
        <f>Z3</f>
        <v>110</v>
      </c>
      <c r="AI3" s="23"/>
    </row>
    <row r="4" spans="1:35" ht="15.75">
      <c r="A4" s="36" t="s">
        <v>45</v>
      </c>
      <c r="B4" s="31"/>
      <c r="C4" s="37"/>
      <c r="D4" s="37"/>
      <c r="E4" s="31"/>
      <c r="F4" s="31"/>
      <c r="G4" s="33" t="s">
        <v>48</v>
      </c>
      <c r="H4" s="38">
        <f>B30</f>
        <v>22.504395819129567</v>
      </c>
      <c r="I4" s="31"/>
      <c r="J4" s="39" t="s">
        <v>51</v>
      </c>
      <c r="K4" s="32"/>
      <c r="L4" s="40"/>
      <c r="M4" s="40"/>
      <c r="N4" s="32"/>
      <c r="O4" s="35" t="s">
        <v>48</v>
      </c>
      <c r="P4" s="34">
        <f>H4</f>
        <v>22.504395819129567</v>
      </c>
      <c r="Q4" s="32" t="s">
        <v>66</v>
      </c>
      <c r="R4" s="32"/>
      <c r="S4" s="32"/>
      <c r="T4" s="32"/>
      <c r="V4" s="24"/>
      <c r="W4" s="31"/>
      <c r="X4" s="31"/>
      <c r="Y4" s="33" t="s">
        <v>48</v>
      </c>
      <c r="Z4" s="38">
        <f>W23</f>
        <v>34.66268710510891</v>
      </c>
      <c r="AA4" s="31"/>
      <c r="AB4" s="83"/>
      <c r="AC4" s="32"/>
      <c r="AD4" s="32"/>
      <c r="AE4" s="40"/>
      <c r="AF4" s="40"/>
      <c r="AG4" s="35" t="s">
        <v>48</v>
      </c>
      <c r="AH4" s="38">
        <f>Z4</f>
        <v>34.66268710510891</v>
      </c>
      <c r="AI4" s="23"/>
    </row>
    <row r="5" spans="1:35" ht="12.75">
      <c r="A5" s="37"/>
      <c r="B5" s="37"/>
      <c r="C5" s="37"/>
      <c r="D5" s="37"/>
      <c r="E5" s="31"/>
      <c r="F5" s="41"/>
      <c r="G5" s="33" t="s">
        <v>50</v>
      </c>
      <c r="H5" s="38">
        <f>B28</f>
        <v>506.44783118405627</v>
      </c>
      <c r="I5" s="31"/>
      <c r="J5" s="40"/>
      <c r="K5" s="40"/>
      <c r="L5" s="40"/>
      <c r="M5" s="40"/>
      <c r="N5" s="32"/>
      <c r="O5" s="32" t="s">
        <v>50</v>
      </c>
      <c r="P5" s="34">
        <f>H5</f>
        <v>506.44783118405627</v>
      </c>
      <c r="Q5" s="32"/>
      <c r="R5" s="32"/>
      <c r="S5" s="32"/>
      <c r="T5" s="32"/>
      <c r="V5" s="22"/>
      <c r="W5" s="37"/>
      <c r="X5" s="31"/>
      <c r="Y5" s="31" t="s">
        <v>50</v>
      </c>
      <c r="Z5" s="38">
        <f>W21</f>
        <v>1201.5018773466834</v>
      </c>
      <c r="AA5" s="41"/>
      <c r="AB5" s="84"/>
      <c r="AC5" s="40"/>
      <c r="AD5" s="40"/>
      <c r="AE5" s="40"/>
      <c r="AF5" s="40"/>
      <c r="AG5" s="32" t="s">
        <v>50</v>
      </c>
      <c r="AH5" s="38">
        <f>Z5</f>
        <v>1201.5018773466834</v>
      </c>
      <c r="AI5" s="23"/>
    </row>
    <row r="6" spans="1:35" ht="12.75">
      <c r="A6" s="37"/>
      <c r="B6" s="37"/>
      <c r="C6" s="37"/>
      <c r="D6" s="37"/>
      <c r="E6" s="31"/>
      <c r="F6" s="41"/>
      <c r="G6" s="31"/>
      <c r="H6" s="42"/>
      <c r="I6" s="31"/>
      <c r="J6" s="40"/>
      <c r="K6" s="40" t="s">
        <v>54</v>
      </c>
      <c r="L6" s="40"/>
      <c r="M6" s="40"/>
      <c r="N6" s="32"/>
      <c r="O6" s="43"/>
      <c r="P6" s="32"/>
      <c r="Q6" s="44"/>
      <c r="R6" s="32"/>
      <c r="S6" s="32"/>
      <c r="T6" s="32"/>
      <c r="V6" s="22"/>
      <c r="W6" s="37"/>
      <c r="X6" s="37"/>
      <c r="Y6" s="37"/>
      <c r="Z6" s="31"/>
      <c r="AA6" s="41"/>
      <c r="AB6" s="84"/>
      <c r="AC6" s="40"/>
      <c r="AD6" s="40"/>
      <c r="AE6" s="40"/>
      <c r="AF6" s="40"/>
      <c r="AG6" s="40"/>
      <c r="AH6" s="40"/>
      <c r="AI6" s="27"/>
    </row>
    <row r="7" spans="1:35" ht="12.75">
      <c r="A7" s="37"/>
      <c r="B7" s="45" t="s">
        <v>43</v>
      </c>
      <c r="C7" s="46" t="s">
        <v>56</v>
      </c>
      <c r="D7" s="45" t="s">
        <v>44</v>
      </c>
      <c r="E7" s="45" t="s">
        <v>42</v>
      </c>
      <c r="F7" s="42"/>
      <c r="G7" s="31"/>
      <c r="H7" s="31"/>
      <c r="I7" s="31"/>
      <c r="J7" s="40"/>
      <c r="K7" s="45" t="s">
        <v>52</v>
      </c>
      <c r="L7" s="45" t="s">
        <v>53</v>
      </c>
      <c r="M7" s="45" t="s">
        <v>43</v>
      </c>
      <c r="N7" s="47" t="s">
        <v>57</v>
      </c>
      <c r="O7" s="46" t="s">
        <v>58</v>
      </c>
      <c r="P7" s="44"/>
      <c r="Q7" s="44"/>
      <c r="R7" s="32"/>
      <c r="S7" s="32"/>
      <c r="T7" s="32"/>
      <c r="V7" s="22"/>
      <c r="W7" s="45" t="s">
        <v>43</v>
      </c>
      <c r="X7" s="46" t="s">
        <v>91</v>
      </c>
      <c r="Y7" s="45" t="s">
        <v>44</v>
      </c>
      <c r="Z7" s="45" t="s">
        <v>42</v>
      </c>
      <c r="AA7" s="42"/>
      <c r="AB7" s="85"/>
      <c r="AC7" s="40"/>
      <c r="AD7" s="45" t="s">
        <v>52</v>
      </c>
      <c r="AE7" s="45" t="s">
        <v>53</v>
      </c>
      <c r="AF7" s="45" t="s">
        <v>43</v>
      </c>
      <c r="AG7" s="47" t="s">
        <v>85</v>
      </c>
      <c r="AH7" s="46" t="s">
        <v>86</v>
      </c>
      <c r="AI7" s="23"/>
    </row>
    <row r="8" spans="1:35" ht="12.75">
      <c r="A8" s="37">
        <v>1</v>
      </c>
      <c r="B8" s="48">
        <f aca="true" t="shared" si="0" ref="B8:B17">M8</f>
        <v>97</v>
      </c>
      <c r="C8" s="49">
        <f>COMBIN(9,0)*5</f>
        <v>5</v>
      </c>
      <c r="D8" s="48">
        <f>B8*C8</f>
        <v>485</v>
      </c>
      <c r="E8" s="48">
        <f>B8*D8</f>
        <v>47045</v>
      </c>
      <c r="F8" s="42"/>
      <c r="G8" s="31"/>
      <c r="H8" s="31"/>
      <c r="I8" s="31"/>
      <c r="J8" s="40">
        <v>1</v>
      </c>
      <c r="K8" s="49">
        <v>89.5</v>
      </c>
      <c r="L8" s="49">
        <v>104.5</v>
      </c>
      <c r="M8" s="48">
        <f>(K8+L8)*0.5</f>
        <v>97</v>
      </c>
      <c r="N8" s="50">
        <f aca="true" t="shared" si="1" ref="N8:N17">NORMDIST(L8,expmean,expstdev,TRUE)-NORMDIST(K8,expmean,expstdev,TRUE)</f>
        <v>0.0034062550713829243</v>
      </c>
      <c r="O8" s="50">
        <f aca="true" t="shared" si="2" ref="O8:O17">N8*obsn</f>
        <v>8.720012982740286</v>
      </c>
      <c r="P8" s="44"/>
      <c r="Q8" s="51" t="s">
        <v>59</v>
      </c>
      <c r="R8" s="32"/>
      <c r="S8" s="32"/>
      <c r="T8" s="32"/>
      <c r="V8" s="22">
        <v>1</v>
      </c>
      <c r="W8" s="48">
        <f>AF8</f>
        <v>50</v>
      </c>
      <c r="X8" s="49">
        <v>100</v>
      </c>
      <c r="Y8" s="48">
        <f>W8*X8</f>
        <v>5000</v>
      </c>
      <c r="Z8" s="48">
        <f>W8*Y8</f>
        <v>250000</v>
      </c>
      <c r="AA8" s="42"/>
      <c r="AB8" s="85"/>
      <c r="AC8" s="40">
        <v>1</v>
      </c>
      <c r="AD8" s="49">
        <v>30</v>
      </c>
      <c r="AE8" s="49">
        <v>70</v>
      </c>
      <c r="AF8" s="48">
        <f>(AD8+AE8)*0.5</f>
        <v>50</v>
      </c>
      <c r="AG8" s="50">
        <f>NORMDIST(AE8,AH3,AH4,TRUE)-NORMDIST(AD8,AH3,AH4,TRUE)</f>
        <v>0.11375370901822646</v>
      </c>
      <c r="AH8" s="50">
        <f>AG8*W15</f>
        <v>91.00296721458116</v>
      </c>
      <c r="AI8" s="23"/>
    </row>
    <row r="9" spans="1:35" ht="12.75">
      <c r="A9" s="37">
        <v>2</v>
      </c>
      <c r="B9" s="48">
        <f t="shared" si="0"/>
        <v>112</v>
      </c>
      <c r="C9" s="49">
        <f>COMBIN(9,1)*5</f>
        <v>45</v>
      </c>
      <c r="D9" s="48">
        <f>B9*C9</f>
        <v>5040</v>
      </c>
      <c r="E9" s="48">
        <f>B9*D9</f>
        <v>564480</v>
      </c>
      <c r="F9" s="42"/>
      <c r="G9" s="31"/>
      <c r="H9" s="31"/>
      <c r="I9" s="31"/>
      <c r="J9" s="40">
        <v>2</v>
      </c>
      <c r="K9" s="49">
        <f aca="true" t="shared" si="3" ref="K9:K17">K8+15</f>
        <v>104.5</v>
      </c>
      <c r="L9" s="49">
        <f aca="true" t="shared" si="4" ref="L9:L17">L8+15</f>
        <v>119.5</v>
      </c>
      <c r="M9" s="48">
        <f aca="true" t="shared" si="5" ref="M9:M17">(K9+L9)*0.5</f>
        <v>112</v>
      </c>
      <c r="N9" s="50">
        <f t="shared" si="1"/>
        <v>0.018934911790076003</v>
      </c>
      <c r="O9" s="50">
        <f t="shared" si="2"/>
        <v>48.47337418259457</v>
      </c>
      <c r="P9" s="44"/>
      <c r="Q9" s="44"/>
      <c r="R9" s="32"/>
      <c r="S9" s="32"/>
      <c r="T9" s="32"/>
      <c r="V9" s="22">
        <v>2</v>
      </c>
      <c r="W9" s="48">
        <f>AF9</f>
        <v>90</v>
      </c>
      <c r="X9" s="49">
        <v>300</v>
      </c>
      <c r="Y9" s="48">
        <f>W9*X9</f>
        <v>27000</v>
      </c>
      <c r="Z9" s="48">
        <f>W9*Y9</f>
        <v>2430000</v>
      </c>
      <c r="AA9" s="42"/>
      <c r="AB9" s="85"/>
      <c r="AC9" s="40">
        <v>2</v>
      </c>
      <c r="AD9" s="49">
        <v>70</v>
      </c>
      <c r="AE9" s="49">
        <v>110</v>
      </c>
      <c r="AF9" s="48">
        <f>(AD9+AE9)*0.5</f>
        <v>90</v>
      </c>
      <c r="AG9" s="50">
        <f>NORMDIST(AE9,AH3,AH4,TRUE)-NORMDIST(AD9,AH3,AH4,TRUE)</f>
        <v>0.3757455338063841</v>
      </c>
      <c r="AH9" s="50">
        <f>AG9*W15</f>
        <v>300.59642704510725</v>
      </c>
      <c r="AI9" s="23"/>
    </row>
    <row r="10" spans="1:35" ht="12.75">
      <c r="A10" s="37">
        <v>3</v>
      </c>
      <c r="B10" s="48">
        <f t="shared" si="0"/>
        <v>127</v>
      </c>
      <c r="C10" s="49">
        <f>COMBIN(9,2)*5</f>
        <v>180</v>
      </c>
      <c r="D10" s="48">
        <f aca="true" t="shared" si="6" ref="D10:D17">B10*C10</f>
        <v>22860</v>
      </c>
      <c r="E10" s="48">
        <f aca="true" t="shared" si="7" ref="E10:E17">B10*D10</f>
        <v>2903220</v>
      </c>
      <c r="F10" s="42"/>
      <c r="G10" s="41"/>
      <c r="H10" s="42"/>
      <c r="I10" s="31"/>
      <c r="J10" s="40">
        <v>3</v>
      </c>
      <c r="K10" s="49">
        <f t="shared" si="3"/>
        <v>119.5</v>
      </c>
      <c r="L10" s="49">
        <f t="shared" si="4"/>
        <v>134.5</v>
      </c>
      <c r="M10" s="48">
        <f t="shared" si="5"/>
        <v>127</v>
      </c>
      <c r="N10" s="50">
        <f t="shared" si="1"/>
        <v>0.06848270980048798</v>
      </c>
      <c r="O10" s="50">
        <f t="shared" si="2"/>
        <v>175.31573708924924</v>
      </c>
      <c r="P10" s="44"/>
      <c r="Q10" s="44"/>
      <c r="R10" s="32"/>
      <c r="S10" s="32"/>
      <c r="T10" s="32"/>
      <c r="V10" s="22">
        <v>3</v>
      </c>
      <c r="W10" s="48">
        <f>AF10</f>
        <v>130</v>
      </c>
      <c r="X10" s="49">
        <v>300</v>
      </c>
      <c r="Y10" s="48">
        <f>W10*X10</f>
        <v>39000</v>
      </c>
      <c r="Z10" s="48">
        <f>W10*Y10</f>
        <v>5070000</v>
      </c>
      <c r="AA10" s="42"/>
      <c r="AB10" s="85"/>
      <c r="AC10" s="40">
        <v>3</v>
      </c>
      <c r="AD10" s="49">
        <v>110</v>
      </c>
      <c r="AE10" s="49">
        <v>150</v>
      </c>
      <c r="AF10" s="48">
        <f>(AD10+AE10)*0.5</f>
        <v>130</v>
      </c>
      <c r="AG10" s="50">
        <f>NORMDIST(AE10,AH3,AH4,TRUE)-NORMDIST(AD10,AH3,AH4,TRUE)</f>
        <v>0.3757455338063841</v>
      </c>
      <c r="AH10" s="50">
        <f>AG10*W15</f>
        <v>300.59642704510725</v>
      </c>
      <c r="AI10" s="23"/>
    </row>
    <row r="11" spans="1:35" ht="12.75">
      <c r="A11" s="37">
        <v>4</v>
      </c>
      <c r="B11" s="48">
        <f t="shared" si="0"/>
        <v>142</v>
      </c>
      <c r="C11" s="49">
        <f>COMBIN(9,3)*5</f>
        <v>419.99999999999994</v>
      </c>
      <c r="D11" s="48">
        <f t="shared" si="6"/>
        <v>59639.99999999999</v>
      </c>
      <c r="E11" s="48">
        <f t="shared" si="7"/>
        <v>8468879.999999998</v>
      </c>
      <c r="F11" s="42"/>
      <c r="G11" s="41"/>
      <c r="H11" s="42"/>
      <c r="I11" s="31"/>
      <c r="J11" s="40">
        <v>4</v>
      </c>
      <c r="K11" s="49">
        <f t="shared" si="3"/>
        <v>134.5</v>
      </c>
      <c r="L11" s="49">
        <f t="shared" si="4"/>
        <v>149.5</v>
      </c>
      <c r="M11" s="48">
        <f t="shared" si="5"/>
        <v>142</v>
      </c>
      <c r="N11" s="50">
        <f t="shared" si="1"/>
        <v>0.16128019593616827</v>
      </c>
      <c r="O11" s="50">
        <f t="shared" si="2"/>
        <v>412.87730159659077</v>
      </c>
      <c r="P11" s="44"/>
      <c r="Q11" s="44"/>
      <c r="R11" s="32"/>
      <c r="S11" s="32"/>
      <c r="T11" s="32"/>
      <c r="V11" s="22">
        <v>4</v>
      </c>
      <c r="W11" s="48">
        <f>AF11</f>
        <v>170</v>
      </c>
      <c r="X11" s="49">
        <v>100</v>
      </c>
      <c r="Y11" s="48">
        <f>W11*X11</f>
        <v>17000</v>
      </c>
      <c r="Z11" s="48">
        <f>W11*Y11</f>
        <v>2890000</v>
      </c>
      <c r="AA11" s="42"/>
      <c r="AB11" s="85"/>
      <c r="AC11" s="40">
        <v>4</v>
      </c>
      <c r="AD11" s="49">
        <v>150</v>
      </c>
      <c r="AE11" s="49">
        <v>190</v>
      </c>
      <c r="AF11" s="48">
        <f>(AD11+AE11)*0.5</f>
        <v>170</v>
      </c>
      <c r="AG11" s="50">
        <f>NORMDIST(AE11,AH3,AH4,TRUE)-NORMDIST(AD11,AH3,AH4,TRUE)</f>
        <v>0.11375370901822646</v>
      </c>
      <c r="AH11" s="50">
        <f>AG11*W15</f>
        <v>91.00296721458116</v>
      </c>
      <c r="AI11" s="23"/>
    </row>
    <row r="12" spans="1:35" ht="12.75">
      <c r="A12" s="37">
        <v>5</v>
      </c>
      <c r="B12" s="48">
        <f t="shared" si="0"/>
        <v>157</v>
      </c>
      <c r="C12" s="49">
        <f>COMBIN(9,4)*5</f>
        <v>630</v>
      </c>
      <c r="D12" s="48">
        <f t="shared" si="6"/>
        <v>98910</v>
      </c>
      <c r="E12" s="48">
        <f t="shared" si="7"/>
        <v>15528870</v>
      </c>
      <c r="F12" s="42"/>
      <c r="G12" s="41"/>
      <c r="H12" s="41"/>
      <c r="I12" s="31"/>
      <c r="J12" s="40">
        <v>5</v>
      </c>
      <c r="K12" s="49">
        <f t="shared" si="3"/>
        <v>149.5</v>
      </c>
      <c r="L12" s="49">
        <f t="shared" si="4"/>
        <v>164.5</v>
      </c>
      <c r="M12" s="48">
        <f t="shared" si="5"/>
        <v>157</v>
      </c>
      <c r="N12" s="50">
        <f t="shared" si="1"/>
        <v>0.24746586179228935</v>
      </c>
      <c r="O12" s="50">
        <f t="shared" si="2"/>
        <v>633.5126061882607</v>
      </c>
      <c r="P12" s="44"/>
      <c r="Q12" s="44"/>
      <c r="R12" s="32"/>
      <c r="S12" s="32"/>
      <c r="T12" s="32"/>
      <c r="V12" s="24"/>
      <c r="W12" s="37" t="s">
        <v>7</v>
      </c>
      <c r="X12" s="52" t="s">
        <v>46</v>
      </c>
      <c r="Y12" s="48">
        <f>SUM(Y8:Y11)</f>
        <v>88000</v>
      </c>
      <c r="Z12" s="31"/>
      <c r="AA12" s="41"/>
      <c r="AB12" s="84"/>
      <c r="AC12" s="32"/>
      <c r="AD12" s="43"/>
      <c r="AE12" s="53"/>
      <c r="AF12" s="43"/>
      <c r="AG12" s="53"/>
      <c r="AH12" s="44"/>
      <c r="AI12" s="26"/>
    </row>
    <row r="13" spans="1:28" ht="12.75">
      <c r="A13" s="37">
        <v>6</v>
      </c>
      <c r="B13" s="48">
        <f t="shared" si="0"/>
        <v>172</v>
      </c>
      <c r="C13" s="49">
        <f>COMBIN(9,5)*5</f>
        <v>630</v>
      </c>
      <c r="D13" s="48">
        <f t="shared" si="6"/>
        <v>108360</v>
      </c>
      <c r="E13" s="48">
        <f t="shared" si="7"/>
        <v>18637920</v>
      </c>
      <c r="F13" s="42"/>
      <c r="G13" s="41"/>
      <c r="H13" s="41"/>
      <c r="I13" s="31"/>
      <c r="J13" s="40">
        <v>6</v>
      </c>
      <c r="K13" s="49">
        <f t="shared" si="3"/>
        <v>164.5</v>
      </c>
      <c r="L13" s="49">
        <f t="shared" si="4"/>
        <v>179.5</v>
      </c>
      <c r="M13" s="48">
        <f t="shared" si="5"/>
        <v>172</v>
      </c>
      <c r="N13" s="50">
        <f t="shared" si="1"/>
        <v>0.24746586179228935</v>
      </c>
      <c r="O13" s="50">
        <f t="shared" si="2"/>
        <v>633.5126061882607</v>
      </c>
      <c r="P13" s="44"/>
      <c r="Q13" s="44"/>
      <c r="R13" s="32"/>
      <c r="S13" s="32"/>
      <c r="T13" s="32"/>
      <c r="V13" s="24"/>
      <c r="W13" s="48">
        <f>SUM(Y8:Y11)/SUM(X8:X11)</f>
        <v>110</v>
      </c>
      <c r="X13" s="52" t="s">
        <v>75</v>
      </c>
      <c r="Y13" s="48">
        <f>Y12*Y12</f>
        <v>7744000000</v>
      </c>
      <c r="Z13" s="31"/>
      <c r="AA13" s="41"/>
      <c r="AB13" s="84"/>
    </row>
    <row r="14" spans="1:35" ht="12.75">
      <c r="A14" s="37">
        <v>7</v>
      </c>
      <c r="B14" s="48">
        <f t="shared" si="0"/>
        <v>187</v>
      </c>
      <c r="C14" s="49">
        <f>COMBIN(9,6)*5</f>
        <v>419.99999999999994</v>
      </c>
      <c r="D14" s="48">
        <f t="shared" si="6"/>
        <v>78539.99999999999</v>
      </c>
      <c r="E14" s="48">
        <f t="shared" si="7"/>
        <v>14686979.999999998</v>
      </c>
      <c r="F14" s="42"/>
      <c r="G14" s="31"/>
      <c r="H14" s="31"/>
      <c r="I14" s="31"/>
      <c r="J14" s="40">
        <v>7</v>
      </c>
      <c r="K14" s="49">
        <f t="shared" si="3"/>
        <v>179.5</v>
      </c>
      <c r="L14" s="49">
        <f t="shared" si="4"/>
        <v>194.5</v>
      </c>
      <c r="M14" s="48">
        <f t="shared" si="5"/>
        <v>187</v>
      </c>
      <c r="N14" s="50">
        <f t="shared" si="1"/>
        <v>0.16128019593616827</v>
      </c>
      <c r="O14" s="50">
        <f t="shared" si="2"/>
        <v>412.87730159659077</v>
      </c>
      <c r="P14" s="44"/>
      <c r="Q14" s="44"/>
      <c r="R14" s="32"/>
      <c r="S14" s="32"/>
      <c r="T14" s="32"/>
      <c r="V14" s="22"/>
      <c r="W14" s="31"/>
      <c r="X14" s="31"/>
      <c r="Y14" s="52" t="s">
        <v>47</v>
      </c>
      <c r="Z14" s="48">
        <f>SUM(Z8:Z11)</f>
        <v>10640000</v>
      </c>
      <c r="AA14" s="31"/>
      <c r="AB14" s="83"/>
      <c r="AC14" s="59"/>
      <c r="AD14" s="12" t="s">
        <v>30</v>
      </c>
      <c r="AE14" s="12" t="s">
        <v>31</v>
      </c>
      <c r="AF14" s="82" t="s">
        <v>32</v>
      </c>
      <c r="AG14" s="82" t="s">
        <v>33</v>
      </c>
      <c r="AH14" s="82" t="s">
        <v>34</v>
      </c>
      <c r="AI14" s="28"/>
    </row>
    <row r="15" spans="1:35" ht="12.75">
      <c r="A15" s="37">
        <v>8</v>
      </c>
      <c r="B15" s="48">
        <f t="shared" si="0"/>
        <v>202</v>
      </c>
      <c r="C15" s="49">
        <f>COMBIN(9,7)*5</f>
        <v>180</v>
      </c>
      <c r="D15" s="48">
        <f t="shared" si="6"/>
        <v>36360</v>
      </c>
      <c r="E15" s="48">
        <f t="shared" si="7"/>
        <v>7344720</v>
      </c>
      <c r="F15" s="42"/>
      <c r="G15" s="31"/>
      <c r="H15" s="31"/>
      <c r="I15" s="31"/>
      <c r="J15" s="40">
        <v>8</v>
      </c>
      <c r="K15" s="49">
        <f t="shared" si="3"/>
        <v>194.5</v>
      </c>
      <c r="L15" s="49">
        <f t="shared" si="4"/>
        <v>209.5</v>
      </c>
      <c r="M15" s="48">
        <f t="shared" si="5"/>
        <v>202</v>
      </c>
      <c r="N15" s="50">
        <f t="shared" si="1"/>
        <v>0.06848270980048798</v>
      </c>
      <c r="O15" s="50">
        <f t="shared" si="2"/>
        <v>175.31573708924924</v>
      </c>
      <c r="P15" s="44"/>
      <c r="Q15" s="44"/>
      <c r="R15" s="32"/>
      <c r="S15" s="32"/>
      <c r="T15" s="32"/>
      <c r="V15" s="22"/>
      <c r="W15" s="48">
        <f>SUM(X8:X11)</f>
        <v>800</v>
      </c>
      <c r="X15" s="61" t="s">
        <v>80</v>
      </c>
      <c r="Y15" s="37"/>
      <c r="Z15" s="31"/>
      <c r="AA15" s="31"/>
      <c r="AB15" s="83"/>
      <c r="AC15" s="54">
        <v>1</v>
      </c>
      <c r="AD15" s="48">
        <f>X8</f>
        <v>100</v>
      </c>
      <c r="AE15" s="62">
        <f>AH8</f>
        <v>91.00296721458116</v>
      </c>
      <c r="AF15" s="63">
        <f>AD15-AE15</f>
        <v>8.997032785418838</v>
      </c>
      <c r="AG15" s="64">
        <f>AF15*AF15</f>
        <v>80.94659894190146</v>
      </c>
      <c r="AH15" s="64">
        <f>AG15/AE15</f>
        <v>0.8894940617818844</v>
      </c>
      <c r="AI15" s="29"/>
    </row>
    <row r="16" spans="1:35" ht="12.75">
      <c r="A16" s="37">
        <v>9</v>
      </c>
      <c r="B16" s="48">
        <f t="shared" si="0"/>
        <v>217</v>
      </c>
      <c r="C16" s="49">
        <f>COMBIN(9,8)*5</f>
        <v>45</v>
      </c>
      <c r="D16" s="48">
        <f t="shared" si="6"/>
        <v>9765</v>
      </c>
      <c r="E16" s="48">
        <f t="shared" si="7"/>
        <v>2119005</v>
      </c>
      <c r="F16" s="42"/>
      <c r="G16" s="31"/>
      <c r="H16" s="31"/>
      <c r="I16" s="31"/>
      <c r="J16" s="40">
        <v>9</v>
      </c>
      <c r="K16" s="49">
        <f t="shared" si="3"/>
        <v>209.5</v>
      </c>
      <c r="L16" s="49">
        <f t="shared" si="4"/>
        <v>224.5</v>
      </c>
      <c r="M16" s="48">
        <f t="shared" si="5"/>
        <v>217</v>
      </c>
      <c r="N16" s="50">
        <f t="shared" si="1"/>
        <v>0.018934911790076003</v>
      </c>
      <c r="O16" s="50">
        <f t="shared" si="2"/>
        <v>48.47337418259457</v>
      </c>
      <c r="P16" s="44"/>
      <c r="Q16" s="44"/>
      <c r="R16" s="32"/>
      <c r="S16" s="32"/>
      <c r="T16" s="32"/>
      <c r="V16" s="24"/>
      <c r="W16" s="48">
        <f>W15-1</f>
        <v>799</v>
      </c>
      <c r="X16" s="61" t="s">
        <v>49</v>
      </c>
      <c r="Y16" s="37"/>
      <c r="Z16" s="31"/>
      <c r="AA16" s="31"/>
      <c r="AB16" s="83"/>
      <c r="AC16" s="54">
        <v>2</v>
      </c>
      <c r="AD16" s="48">
        <f>X9</f>
        <v>300</v>
      </c>
      <c r="AE16" s="62">
        <f>AH9</f>
        <v>300.59642704510725</v>
      </c>
      <c r="AF16" s="63">
        <f>AD16-AE16</f>
        <v>-0.596427045107248</v>
      </c>
      <c r="AG16" s="64">
        <f>AF16*AF16</f>
        <v>0.35572522013536323</v>
      </c>
      <c r="AH16" s="64">
        <f>AG16/AE16</f>
        <v>0.0011833980318135431</v>
      </c>
      <c r="AI16" s="29"/>
    </row>
    <row r="17" spans="1:35" ht="12.75">
      <c r="A17" s="37">
        <v>10</v>
      </c>
      <c r="B17" s="48">
        <f t="shared" si="0"/>
        <v>232</v>
      </c>
      <c r="C17" s="49">
        <f>COMBIN(9,9)*5</f>
        <v>5</v>
      </c>
      <c r="D17" s="48">
        <f t="shared" si="6"/>
        <v>1160</v>
      </c>
      <c r="E17" s="48">
        <f t="shared" si="7"/>
        <v>269120</v>
      </c>
      <c r="F17" s="42"/>
      <c r="G17" s="31"/>
      <c r="H17" s="31"/>
      <c r="I17" s="31"/>
      <c r="J17" s="40">
        <v>10</v>
      </c>
      <c r="K17" s="49">
        <f t="shared" si="3"/>
        <v>224.5</v>
      </c>
      <c r="L17" s="49">
        <f t="shared" si="4"/>
        <v>239.5</v>
      </c>
      <c r="M17" s="48">
        <f t="shared" si="5"/>
        <v>232</v>
      </c>
      <c r="N17" s="50">
        <f t="shared" si="1"/>
        <v>0.0034062550713829243</v>
      </c>
      <c r="O17" s="50">
        <f t="shared" si="2"/>
        <v>8.720012982740286</v>
      </c>
      <c r="P17" s="44"/>
      <c r="Q17" s="44"/>
      <c r="R17" s="32"/>
      <c r="S17" s="32"/>
      <c r="T17" s="32"/>
      <c r="V17" s="24"/>
      <c r="W17" s="31"/>
      <c r="X17" s="31"/>
      <c r="Y17" s="37"/>
      <c r="Z17" s="31"/>
      <c r="AA17" s="31"/>
      <c r="AB17" s="83"/>
      <c r="AC17" s="54">
        <v>3</v>
      </c>
      <c r="AD17" s="48">
        <f>X10</f>
        <v>300</v>
      </c>
      <c r="AE17" s="62">
        <f>AH10</f>
        <v>300.59642704510725</v>
      </c>
      <c r="AF17" s="63">
        <f>AD17-AE17</f>
        <v>-0.596427045107248</v>
      </c>
      <c r="AG17" s="64">
        <f>AF17*AF17</f>
        <v>0.35572522013536323</v>
      </c>
      <c r="AH17" s="64">
        <f>AG17/AE17</f>
        <v>0.0011833980318135431</v>
      </c>
      <c r="AI17" s="29"/>
    </row>
    <row r="18" spans="1:35" ht="13.5" thickBot="1">
      <c r="A18" s="31"/>
      <c r="B18" s="31"/>
      <c r="C18" s="52" t="s">
        <v>46</v>
      </c>
      <c r="D18" s="48">
        <f>SUM(D8:D17)</f>
        <v>421120</v>
      </c>
      <c r="E18" s="31"/>
      <c r="F18" s="41"/>
      <c r="G18" s="31"/>
      <c r="H18" s="31"/>
      <c r="I18" s="31"/>
      <c r="J18" s="32"/>
      <c r="K18" s="43"/>
      <c r="L18" s="53"/>
      <c r="M18" s="43"/>
      <c r="N18" s="53"/>
      <c r="O18" s="44"/>
      <c r="P18" s="43"/>
      <c r="Q18" s="43"/>
      <c r="R18" s="43"/>
      <c r="S18" s="32"/>
      <c r="T18" s="32"/>
      <c r="V18" s="78"/>
      <c r="W18" s="65">
        <f>W15*Z14-Y13</f>
        <v>768000000</v>
      </c>
      <c r="X18" s="66" t="s">
        <v>83</v>
      </c>
      <c r="Y18" s="67"/>
      <c r="Z18" s="31"/>
      <c r="AA18" s="31"/>
      <c r="AB18" s="83"/>
      <c r="AC18" s="54">
        <v>4</v>
      </c>
      <c r="AD18" s="68">
        <f>X11</f>
        <v>100</v>
      </c>
      <c r="AE18" s="62">
        <f>AH11</f>
        <v>91.00296721458116</v>
      </c>
      <c r="AF18" s="63">
        <f>AD18-AE18</f>
        <v>8.997032785418838</v>
      </c>
      <c r="AG18" s="64">
        <f>AF18*AF18</f>
        <v>80.94659894190146</v>
      </c>
      <c r="AH18" s="64">
        <f>AG18/AE18</f>
        <v>0.8894940617818844</v>
      </c>
      <c r="AI18" s="29"/>
    </row>
    <row r="19" spans="1:35" ht="12.75">
      <c r="A19" s="31"/>
      <c r="B19" s="37" t="s">
        <v>7</v>
      </c>
      <c r="C19" s="52" t="s">
        <v>75</v>
      </c>
      <c r="D19" s="48">
        <f>D18*D18</f>
        <v>177342054400</v>
      </c>
      <c r="E19" s="31"/>
      <c r="F19" s="41"/>
      <c r="G19" s="31"/>
      <c r="H19" s="31"/>
      <c r="I19" s="31"/>
      <c r="J19" s="54"/>
      <c r="K19" s="55"/>
      <c r="L19" s="56"/>
      <c r="M19" s="55"/>
      <c r="N19" s="56"/>
      <c r="O19" s="57"/>
      <c r="P19" s="55"/>
      <c r="Q19" s="56"/>
      <c r="R19" s="56"/>
      <c r="S19" s="58"/>
      <c r="T19" s="58"/>
      <c r="V19" s="24"/>
      <c r="W19" s="70">
        <f>W15*W16</f>
        <v>639200</v>
      </c>
      <c r="X19" s="61" t="s">
        <v>84</v>
      </c>
      <c r="Y19" s="37"/>
      <c r="Z19" s="31"/>
      <c r="AA19" s="31"/>
      <c r="AB19" s="83"/>
      <c r="AC19" s="54"/>
      <c r="AD19" s="54"/>
      <c r="AE19" s="58"/>
      <c r="AF19" s="58"/>
      <c r="AG19" s="58"/>
      <c r="AH19" s="58"/>
      <c r="AI19" s="28"/>
    </row>
    <row r="20" spans="1:35" ht="12.75">
      <c r="A20" s="37"/>
      <c r="B20" s="48">
        <f>SUM(D8:D17)/SUM(C8:C17)</f>
        <v>164.5</v>
      </c>
      <c r="C20" s="31"/>
      <c r="D20" s="52" t="s">
        <v>47</v>
      </c>
      <c r="E20" s="48">
        <f>SUM(E8:E17)</f>
        <v>70570240</v>
      </c>
      <c r="F20" s="31"/>
      <c r="G20" s="31"/>
      <c r="H20" s="31"/>
      <c r="I20" s="31"/>
      <c r="J20" s="54"/>
      <c r="K20" s="54"/>
      <c r="L20" s="54"/>
      <c r="M20" s="54"/>
      <c r="N20" s="54"/>
      <c r="O20" s="56"/>
      <c r="P20" s="56"/>
      <c r="Q20" s="56"/>
      <c r="R20" s="58"/>
      <c r="S20" s="58"/>
      <c r="T20" s="58"/>
      <c r="V20" s="31"/>
      <c r="W20" s="31"/>
      <c r="X20" s="31"/>
      <c r="Y20" s="31"/>
      <c r="Z20" s="31"/>
      <c r="AA20" s="31"/>
      <c r="AB20" s="83"/>
      <c r="AC20" s="54"/>
      <c r="AD20" s="74" t="s">
        <v>38</v>
      </c>
      <c r="AE20" s="58"/>
      <c r="AF20" s="58"/>
      <c r="AG20" s="1" t="s">
        <v>35</v>
      </c>
      <c r="AH20" s="64">
        <f>SUM(AH15:AH18)</f>
        <v>1.781354919627396</v>
      </c>
      <c r="AI20" s="30"/>
    </row>
    <row r="21" spans="1:35" ht="12.75">
      <c r="A21" s="37"/>
      <c r="B21" s="37"/>
      <c r="C21" s="37"/>
      <c r="D21" s="37"/>
      <c r="E21" s="31"/>
      <c r="F21" s="31"/>
      <c r="G21" s="31"/>
      <c r="H21" s="31"/>
      <c r="I21" s="31"/>
      <c r="J21" s="58"/>
      <c r="K21" s="59"/>
      <c r="L21" s="60" t="s">
        <v>30</v>
      </c>
      <c r="M21" s="60" t="s">
        <v>31</v>
      </c>
      <c r="N21" s="1" t="s">
        <v>32</v>
      </c>
      <c r="O21" s="1" t="s">
        <v>33</v>
      </c>
      <c r="P21" s="1" t="s">
        <v>34</v>
      </c>
      <c r="Q21" s="56"/>
      <c r="R21" s="58"/>
      <c r="S21" s="58"/>
      <c r="T21" s="58"/>
      <c r="V21" s="24"/>
      <c r="W21" s="48">
        <f>W18/W19</f>
        <v>1201.5018773466834</v>
      </c>
      <c r="X21" s="61" t="s">
        <v>87</v>
      </c>
      <c r="Y21" s="37"/>
      <c r="Z21" s="31"/>
      <c r="AA21" s="31"/>
      <c r="AB21" s="83"/>
      <c r="AC21" s="54"/>
      <c r="AD21" s="75">
        <v>3</v>
      </c>
      <c r="AE21" s="58"/>
      <c r="AF21" s="58"/>
      <c r="AG21" s="58"/>
      <c r="AH21" s="58"/>
      <c r="AI21" s="30"/>
    </row>
    <row r="22" spans="1:35" ht="12.75">
      <c r="A22" s="31"/>
      <c r="B22" s="48">
        <f>SUM(C8:C17)</f>
        <v>2560</v>
      </c>
      <c r="C22" s="61" t="s">
        <v>60</v>
      </c>
      <c r="D22" s="37"/>
      <c r="E22" s="31"/>
      <c r="F22" s="31"/>
      <c r="G22" s="31"/>
      <c r="H22" s="31"/>
      <c r="I22" s="31"/>
      <c r="J22" s="58"/>
      <c r="K22" s="54">
        <v>1</v>
      </c>
      <c r="L22" s="48">
        <f aca="true" t="shared" si="8" ref="L22:L31">C8</f>
        <v>5</v>
      </c>
      <c r="M22" s="62">
        <f aca="true" t="shared" si="9" ref="M22:M31">O8</f>
        <v>8.720012982740286</v>
      </c>
      <c r="N22" s="63">
        <f aca="true" t="shared" si="10" ref="N22:N31">L22-M22</f>
        <v>-3.720012982740286</v>
      </c>
      <c r="O22" s="64">
        <f aca="true" t="shared" si="11" ref="O22:O31">N22*N22</f>
        <v>13.83849659175628</v>
      </c>
      <c r="P22" s="64">
        <f aca="true" t="shared" si="12" ref="P22:P31">O22/M22</f>
        <v>1.586981191329316</v>
      </c>
      <c r="Q22" s="58"/>
      <c r="R22" s="58" t="s">
        <v>69</v>
      </c>
      <c r="S22" s="58"/>
      <c r="T22" s="58"/>
      <c r="V22" s="24"/>
      <c r="W22" s="42"/>
      <c r="X22" s="61"/>
      <c r="Y22" s="37" t="s">
        <v>88</v>
      </c>
      <c r="Z22" s="31"/>
      <c r="AA22" s="31"/>
      <c r="AB22" s="83"/>
      <c r="AC22" s="54"/>
      <c r="AD22" s="58"/>
      <c r="AE22" s="58" t="s">
        <v>81</v>
      </c>
      <c r="AF22" s="58"/>
      <c r="AG22" s="58"/>
      <c r="AH22" s="58"/>
      <c r="AI22" s="29"/>
    </row>
    <row r="23" spans="1:35" ht="12.75">
      <c r="A23" s="31"/>
      <c r="B23" s="48">
        <f>B22-1</f>
        <v>2559</v>
      </c>
      <c r="C23" s="61" t="s">
        <v>49</v>
      </c>
      <c r="D23" s="37"/>
      <c r="E23" s="31"/>
      <c r="F23" s="31"/>
      <c r="G23" s="31"/>
      <c r="H23" s="31"/>
      <c r="I23" s="31"/>
      <c r="J23" s="58"/>
      <c r="K23" s="54">
        <v>2</v>
      </c>
      <c r="L23" s="48">
        <f t="shared" si="8"/>
        <v>45</v>
      </c>
      <c r="M23" s="62">
        <f t="shared" si="9"/>
        <v>48.47337418259457</v>
      </c>
      <c r="N23" s="63">
        <f t="shared" si="10"/>
        <v>-3.4733741825945685</v>
      </c>
      <c r="O23" s="64">
        <f t="shared" si="11"/>
        <v>12.064328212314487</v>
      </c>
      <c r="P23" s="64">
        <f t="shared" si="12"/>
        <v>0.2488856700354573</v>
      </c>
      <c r="Q23" s="58"/>
      <c r="R23" s="58"/>
      <c r="S23" s="58" t="s">
        <v>68</v>
      </c>
      <c r="T23" s="58"/>
      <c r="V23" s="24"/>
      <c r="W23" s="48">
        <f>SQRT(W21)</f>
        <v>34.66268710510891</v>
      </c>
      <c r="X23" s="61" t="s">
        <v>89</v>
      </c>
      <c r="Y23" s="37"/>
      <c r="Z23" s="31"/>
      <c r="AA23" s="31"/>
      <c r="AB23" s="83"/>
      <c r="AC23" s="54"/>
      <c r="AD23" s="58"/>
      <c r="AE23" s="58"/>
      <c r="AF23" s="58" t="s">
        <v>68</v>
      </c>
      <c r="AG23" s="58"/>
      <c r="AH23" s="58"/>
      <c r="AI23" s="29"/>
    </row>
    <row r="24" spans="1:35" ht="14.25">
      <c r="A24" s="31"/>
      <c r="B24" s="37"/>
      <c r="C24" s="61"/>
      <c r="D24" s="37"/>
      <c r="E24" s="31"/>
      <c r="F24" s="31"/>
      <c r="G24" s="31"/>
      <c r="H24" s="31"/>
      <c r="I24" s="31"/>
      <c r="J24" s="58"/>
      <c r="K24" s="54">
        <v>3</v>
      </c>
      <c r="L24" s="48">
        <f t="shared" si="8"/>
        <v>180</v>
      </c>
      <c r="M24" s="62">
        <f t="shared" si="9"/>
        <v>175.31573708924924</v>
      </c>
      <c r="N24" s="63">
        <f t="shared" si="10"/>
        <v>4.6842629107507605</v>
      </c>
      <c r="O24" s="64">
        <f t="shared" si="11"/>
        <v>21.94231901703519</v>
      </c>
      <c r="P24" s="64">
        <f t="shared" si="12"/>
        <v>0.12515886697532952</v>
      </c>
      <c r="Q24" s="56"/>
      <c r="R24" s="56" t="s">
        <v>76</v>
      </c>
      <c r="S24" s="58"/>
      <c r="T24" s="58"/>
      <c r="V24" s="24"/>
      <c r="W24" s="37"/>
      <c r="X24" s="37"/>
      <c r="Y24" s="37" t="s">
        <v>90</v>
      </c>
      <c r="Z24" s="31"/>
      <c r="AA24" s="31"/>
      <c r="AB24" s="83"/>
      <c r="AC24" s="54"/>
      <c r="AD24" s="29"/>
      <c r="AE24" s="56" t="s">
        <v>76</v>
      </c>
      <c r="AF24" s="58"/>
      <c r="AG24" s="58"/>
      <c r="AH24" s="58"/>
      <c r="AI24" s="29"/>
    </row>
    <row r="25" spans="1:35" ht="16.5" thickBot="1">
      <c r="A25" s="31"/>
      <c r="B25" s="65">
        <f>B22*E20-D19</f>
        <v>3317760000</v>
      </c>
      <c r="C25" s="66" t="s">
        <v>77</v>
      </c>
      <c r="D25" s="67"/>
      <c r="E25" s="31"/>
      <c r="F25" s="31"/>
      <c r="G25" s="31"/>
      <c r="H25" s="31"/>
      <c r="I25" s="31"/>
      <c r="J25" s="58"/>
      <c r="K25" s="54">
        <v>4</v>
      </c>
      <c r="L25" s="68">
        <f t="shared" si="8"/>
        <v>419.99999999999994</v>
      </c>
      <c r="M25" s="69">
        <f t="shared" si="9"/>
        <v>412.87730159659077</v>
      </c>
      <c r="N25" s="63">
        <f t="shared" si="10"/>
        <v>7.122698403409174</v>
      </c>
      <c r="O25" s="64">
        <f t="shared" si="11"/>
        <v>50.7328325459276</v>
      </c>
      <c r="P25" s="64">
        <f t="shared" si="12"/>
        <v>0.1228762936343181</v>
      </c>
      <c r="Q25" s="56"/>
      <c r="R25" s="58" t="s">
        <v>78</v>
      </c>
      <c r="S25" s="58"/>
      <c r="T25" s="58"/>
      <c r="V25" s="22"/>
      <c r="W25" s="37"/>
      <c r="X25" s="37"/>
      <c r="Y25" s="37"/>
      <c r="Z25" s="31"/>
      <c r="AA25" s="31"/>
      <c r="AB25" s="83"/>
      <c r="AC25" s="54"/>
      <c r="AD25" s="29"/>
      <c r="AE25" s="58" t="s">
        <v>78</v>
      </c>
      <c r="AF25" s="58"/>
      <c r="AG25" s="58"/>
      <c r="AH25" s="58"/>
      <c r="AI25" s="29"/>
    </row>
    <row r="26" spans="1:35" ht="12.75">
      <c r="A26" s="31"/>
      <c r="B26" s="70">
        <f>B22*B23</f>
        <v>6551040</v>
      </c>
      <c r="C26" s="61" t="s">
        <v>41</v>
      </c>
      <c r="D26" s="37"/>
      <c r="E26" s="31"/>
      <c r="F26" s="31"/>
      <c r="G26" s="31"/>
      <c r="H26" s="31"/>
      <c r="I26" s="31"/>
      <c r="J26" s="58"/>
      <c r="K26" s="54">
        <v>5</v>
      </c>
      <c r="L26" s="48">
        <f t="shared" si="8"/>
        <v>630</v>
      </c>
      <c r="M26" s="62">
        <f t="shared" si="9"/>
        <v>633.5126061882607</v>
      </c>
      <c r="N26" s="63">
        <f t="shared" si="10"/>
        <v>-3.5126061882607473</v>
      </c>
      <c r="O26" s="64">
        <f t="shared" si="11"/>
        <v>12.338402233807697</v>
      </c>
      <c r="P26" s="64">
        <f t="shared" si="12"/>
        <v>0.019476174764770343</v>
      </c>
      <c r="Q26" s="56"/>
      <c r="R26" s="58"/>
      <c r="S26" s="58"/>
      <c r="T26" s="58"/>
      <c r="V26" s="22"/>
      <c r="W26" s="37"/>
      <c r="X26" s="37"/>
      <c r="Y26" s="37"/>
      <c r="Z26" s="31"/>
      <c r="AA26" s="31"/>
      <c r="AB26" s="83"/>
      <c r="AC26" s="54"/>
      <c r="AD26" s="29"/>
      <c r="AE26" s="58"/>
      <c r="AF26" s="58"/>
      <c r="AG26" s="58"/>
      <c r="AH26" s="58"/>
      <c r="AI26" s="29"/>
    </row>
    <row r="27" spans="1:35" ht="12.75">
      <c r="A27" s="31"/>
      <c r="B27" s="37"/>
      <c r="C27" s="61"/>
      <c r="D27" s="37"/>
      <c r="E27" s="31"/>
      <c r="F27" s="31"/>
      <c r="G27" s="31"/>
      <c r="H27" s="31"/>
      <c r="I27" s="31"/>
      <c r="J27" s="58"/>
      <c r="K27" s="54">
        <v>6</v>
      </c>
      <c r="L27" s="48">
        <f t="shared" si="8"/>
        <v>630</v>
      </c>
      <c r="M27" s="62">
        <f t="shared" si="9"/>
        <v>633.5126061882607</v>
      </c>
      <c r="N27" s="63">
        <f t="shared" si="10"/>
        <v>-3.5126061882607473</v>
      </c>
      <c r="O27" s="64">
        <f t="shared" si="11"/>
        <v>12.338402233807697</v>
      </c>
      <c r="P27" s="64">
        <f t="shared" si="12"/>
        <v>0.019476174764770343</v>
      </c>
      <c r="Q27" s="71" t="s">
        <v>63</v>
      </c>
      <c r="R27" s="72"/>
      <c r="S27" s="58"/>
      <c r="T27" s="58"/>
      <c r="V27" s="22"/>
      <c r="W27" s="37"/>
      <c r="X27" s="37"/>
      <c r="Y27" s="37"/>
      <c r="Z27" s="31"/>
      <c r="AA27" s="31"/>
      <c r="AB27" s="83"/>
      <c r="AC27" s="54"/>
      <c r="AD27" s="29"/>
      <c r="AE27" s="1" t="s">
        <v>36</v>
      </c>
      <c r="AF27" s="1"/>
      <c r="AG27" s="58"/>
      <c r="AH27" s="58"/>
      <c r="AI27" s="29"/>
    </row>
    <row r="28" spans="1:35" ht="12.75">
      <c r="A28" s="31"/>
      <c r="B28" s="62">
        <f>B25/B26</f>
        <v>506.44783118405627</v>
      </c>
      <c r="C28" s="61" t="s">
        <v>79</v>
      </c>
      <c r="D28" s="37"/>
      <c r="E28" s="31"/>
      <c r="F28" s="31"/>
      <c r="G28" s="31"/>
      <c r="H28" s="31"/>
      <c r="I28" s="31"/>
      <c r="J28" s="58"/>
      <c r="K28" s="54">
        <v>7</v>
      </c>
      <c r="L28" s="48">
        <f t="shared" si="8"/>
        <v>419.99999999999994</v>
      </c>
      <c r="M28" s="62">
        <f t="shared" si="9"/>
        <v>412.87730159659077</v>
      </c>
      <c r="N28" s="63">
        <f t="shared" si="10"/>
        <v>7.122698403409174</v>
      </c>
      <c r="O28" s="64">
        <f t="shared" si="11"/>
        <v>50.7328325459276</v>
      </c>
      <c r="P28" s="64">
        <f t="shared" si="12"/>
        <v>0.1228762936343181</v>
      </c>
      <c r="Q28" s="71" t="s">
        <v>61</v>
      </c>
      <c r="R28" s="72"/>
      <c r="S28" s="58"/>
      <c r="T28" s="58"/>
      <c r="V28" s="22"/>
      <c r="W28" s="37"/>
      <c r="X28" s="37"/>
      <c r="Y28" s="37"/>
      <c r="Z28" s="31"/>
      <c r="AA28" s="31"/>
      <c r="AB28" s="83"/>
      <c r="AC28" s="58"/>
      <c r="AD28" s="58"/>
      <c r="AE28" s="1" t="s">
        <v>37</v>
      </c>
      <c r="AF28" s="76">
        <f>CHIDIST(AH20,AD21)</f>
        <v>0.6190006959184109</v>
      </c>
      <c r="AG28" s="58"/>
      <c r="AH28" s="58"/>
      <c r="AI28" s="29"/>
    </row>
    <row r="29" spans="1:35" ht="12.75">
      <c r="A29" s="31"/>
      <c r="B29" s="73"/>
      <c r="C29" s="61"/>
      <c r="D29" s="37"/>
      <c r="E29" s="31"/>
      <c r="F29" s="31"/>
      <c r="G29" s="31"/>
      <c r="H29" s="31"/>
      <c r="I29" s="31"/>
      <c r="J29" s="58"/>
      <c r="K29" s="54">
        <v>8</v>
      </c>
      <c r="L29" s="48">
        <f t="shared" si="8"/>
        <v>180</v>
      </c>
      <c r="M29" s="50">
        <f t="shared" si="9"/>
        <v>175.31573708924924</v>
      </c>
      <c r="N29" s="63">
        <f t="shared" si="10"/>
        <v>4.6842629107507605</v>
      </c>
      <c r="O29" s="64">
        <f t="shared" si="11"/>
        <v>21.94231901703519</v>
      </c>
      <c r="P29" s="64">
        <f t="shared" si="12"/>
        <v>0.12515886697532952</v>
      </c>
      <c r="Q29" s="71" t="s">
        <v>62</v>
      </c>
      <c r="R29" s="72"/>
      <c r="S29" s="58"/>
      <c r="T29" s="58"/>
      <c r="V29" s="22"/>
      <c r="W29" s="31"/>
      <c r="X29" s="31"/>
      <c r="Y29" s="31"/>
      <c r="Z29" s="31"/>
      <c r="AA29" s="31"/>
      <c r="AB29" s="83"/>
      <c r="AC29" s="58"/>
      <c r="AD29" s="29"/>
      <c r="AE29" s="58"/>
      <c r="AF29" s="58"/>
      <c r="AG29" s="56"/>
      <c r="AH29" s="58"/>
      <c r="AI29" s="29"/>
    </row>
    <row r="30" spans="1:35" ht="12.75">
      <c r="A30" s="31"/>
      <c r="B30" s="62">
        <f>SQRT(B28)</f>
        <v>22.504395819129567</v>
      </c>
      <c r="C30" s="61" t="s">
        <v>40</v>
      </c>
      <c r="D30" s="37"/>
      <c r="E30" s="31"/>
      <c r="F30" s="31"/>
      <c r="G30" s="31"/>
      <c r="H30" s="31"/>
      <c r="I30" s="31"/>
      <c r="J30" s="54"/>
      <c r="K30" s="54">
        <v>9</v>
      </c>
      <c r="L30" s="48">
        <f t="shared" si="8"/>
        <v>45</v>
      </c>
      <c r="M30" s="50">
        <f t="shared" si="9"/>
        <v>48.47337418259457</v>
      </c>
      <c r="N30" s="63">
        <f t="shared" si="10"/>
        <v>-3.4733741825945685</v>
      </c>
      <c r="O30" s="64">
        <f t="shared" si="11"/>
        <v>12.064328212314487</v>
      </c>
      <c r="P30" s="64">
        <f t="shared" si="12"/>
        <v>0.2488856700354573</v>
      </c>
      <c r="Q30" s="56"/>
      <c r="R30" s="58"/>
      <c r="S30" s="58"/>
      <c r="T30" s="58"/>
      <c r="V30" s="7"/>
      <c r="W30" s="83"/>
      <c r="X30" s="83"/>
      <c r="Y30" s="83"/>
      <c r="Z30" s="83"/>
      <c r="AA30" s="83"/>
      <c r="AB30" s="83"/>
      <c r="AC30" s="83"/>
      <c r="AD30" s="83"/>
      <c r="AE30" s="7"/>
      <c r="AF30" s="7"/>
      <c r="AG30" s="7"/>
      <c r="AH30" s="7"/>
      <c r="AI30" s="7"/>
    </row>
    <row r="31" spans="1:35" ht="12.75">
      <c r="A31" s="37"/>
      <c r="B31" s="37"/>
      <c r="C31" s="37"/>
      <c r="D31" s="37"/>
      <c r="E31" s="31"/>
      <c r="F31" s="31"/>
      <c r="G31" s="31"/>
      <c r="H31" s="31"/>
      <c r="I31" s="31"/>
      <c r="J31" s="54"/>
      <c r="K31" s="54">
        <v>10</v>
      </c>
      <c r="L31" s="48">
        <f t="shared" si="8"/>
        <v>5</v>
      </c>
      <c r="M31" s="50">
        <f t="shared" si="9"/>
        <v>8.720012982740286</v>
      </c>
      <c r="N31" s="63">
        <f t="shared" si="10"/>
        <v>-3.720012982740286</v>
      </c>
      <c r="O31" s="64">
        <f t="shared" si="11"/>
        <v>13.83849659175628</v>
      </c>
      <c r="P31" s="64">
        <f t="shared" si="12"/>
        <v>1.586981191329316</v>
      </c>
      <c r="Q31" s="56"/>
      <c r="R31" s="58"/>
      <c r="S31" s="58"/>
      <c r="T31" s="58"/>
      <c r="V31" s="7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7"/>
    </row>
    <row r="32" spans="1:35" ht="12.75">
      <c r="A32" s="37"/>
      <c r="B32" s="37"/>
      <c r="C32" s="37"/>
      <c r="D32" s="37"/>
      <c r="E32" s="31"/>
      <c r="F32" s="31"/>
      <c r="G32" s="31"/>
      <c r="H32" s="31"/>
      <c r="I32" s="31"/>
      <c r="J32" s="54"/>
      <c r="K32" s="54"/>
      <c r="L32" s="54"/>
      <c r="M32" s="58"/>
      <c r="N32" s="58"/>
      <c r="O32" s="58"/>
      <c r="P32" s="58"/>
      <c r="Q32" s="58"/>
      <c r="R32" s="58"/>
      <c r="S32" s="58"/>
      <c r="T32" s="58"/>
      <c r="V32" s="7"/>
      <c r="W32" s="7"/>
      <c r="X32" s="7"/>
      <c r="Y32" s="7"/>
      <c r="Z32" s="7"/>
      <c r="AA32" s="7"/>
      <c r="AC32" s="7"/>
      <c r="AD32" s="7"/>
      <c r="AE32" s="7"/>
      <c r="AF32" s="7"/>
      <c r="AG32" s="7"/>
      <c r="AH32" s="7"/>
      <c r="AI32" s="7"/>
    </row>
    <row r="33" spans="1:35" ht="12.75">
      <c r="A33" s="37"/>
      <c r="B33" s="37"/>
      <c r="C33" s="37"/>
      <c r="D33" s="37"/>
      <c r="E33" s="31"/>
      <c r="F33" s="31"/>
      <c r="G33" s="31"/>
      <c r="H33" s="31"/>
      <c r="I33" s="31"/>
      <c r="J33" s="54"/>
      <c r="K33" s="54"/>
      <c r="L33" s="54"/>
      <c r="M33" s="58"/>
      <c r="N33" s="58"/>
      <c r="O33" s="1" t="s">
        <v>35</v>
      </c>
      <c r="P33" s="64">
        <f>SUM(P22:P31)</f>
        <v>4.206756393478382</v>
      </c>
      <c r="Q33" s="58"/>
      <c r="R33" s="58"/>
      <c r="S33" s="58"/>
      <c r="T33" s="58"/>
      <c r="V33" s="7"/>
      <c r="W33" s="7"/>
      <c r="X33" s="7"/>
      <c r="Y33" s="7"/>
      <c r="Z33" s="7"/>
      <c r="AA33" s="7"/>
      <c r="AC33" s="7"/>
      <c r="AD33" s="7"/>
      <c r="AE33" s="7"/>
      <c r="AF33" s="7"/>
      <c r="AG33" s="7"/>
      <c r="AH33" s="7"/>
      <c r="AI33" s="7"/>
    </row>
    <row r="34" spans="1:35" ht="12.75">
      <c r="A34" s="37"/>
      <c r="B34" s="37"/>
      <c r="C34" s="37"/>
      <c r="D34" s="37"/>
      <c r="E34" s="31"/>
      <c r="F34" s="31"/>
      <c r="G34" s="31"/>
      <c r="H34" s="31"/>
      <c r="I34" s="31"/>
      <c r="J34" s="54"/>
      <c r="K34" s="54"/>
      <c r="L34" s="74" t="s">
        <v>38</v>
      </c>
      <c r="M34" s="58"/>
      <c r="N34" s="58"/>
      <c r="O34" s="58"/>
      <c r="P34" s="58"/>
      <c r="Q34" s="58"/>
      <c r="R34" s="58"/>
      <c r="S34" s="58"/>
      <c r="T34" s="58"/>
      <c r="V34" s="7"/>
      <c r="W34" s="7"/>
      <c r="X34" s="7"/>
      <c r="Y34" s="7"/>
      <c r="Z34" s="7"/>
      <c r="AA34" s="7"/>
      <c r="AC34" s="7"/>
      <c r="AD34" s="7"/>
      <c r="AE34" s="7"/>
      <c r="AF34" s="7"/>
      <c r="AG34" s="7"/>
      <c r="AH34" s="7"/>
      <c r="AI34" s="7"/>
    </row>
    <row r="35" spans="1:35" ht="12.75">
      <c r="A35" s="37"/>
      <c r="B35" s="37"/>
      <c r="C35" s="37"/>
      <c r="D35" s="37"/>
      <c r="E35" s="31"/>
      <c r="F35" s="31"/>
      <c r="G35" s="31"/>
      <c r="H35" s="31"/>
      <c r="I35" s="31"/>
      <c r="J35" s="58"/>
      <c r="K35" s="58"/>
      <c r="L35" s="75">
        <v>9</v>
      </c>
      <c r="M35" s="58"/>
      <c r="N35" s="1" t="s">
        <v>36</v>
      </c>
      <c r="O35" s="1"/>
      <c r="P35" s="58"/>
      <c r="Q35" s="58"/>
      <c r="R35" s="58"/>
      <c r="S35" s="58"/>
      <c r="T35" s="58"/>
      <c r="V35" s="7"/>
      <c r="W35" s="7"/>
      <c r="X35" s="7"/>
      <c r="Y35" s="7"/>
      <c r="Z35" s="7"/>
      <c r="AA35" s="7"/>
      <c r="AC35" s="7"/>
      <c r="AD35" s="7"/>
      <c r="AE35" s="7"/>
      <c r="AF35" s="7"/>
      <c r="AG35" s="7"/>
      <c r="AH35" s="7"/>
      <c r="AI35" s="7"/>
    </row>
    <row r="36" spans="1:20" ht="12.75">
      <c r="A36" s="31"/>
      <c r="B36" s="31"/>
      <c r="C36" s="31"/>
      <c r="D36" s="31"/>
      <c r="E36" s="31"/>
      <c r="F36" s="31"/>
      <c r="G36" s="31"/>
      <c r="H36" s="31"/>
      <c r="I36" s="31"/>
      <c r="J36" s="58"/>
      <c r="K36" s="58"/>
      <c r="L36" s="58" t="s">
        <v>64</v>
      </c>
      <c r="M36" s="58"/>
      <c r="N36" s="1" t="s">
        <v>37</v>
      </c>
      <c r="O36" s="76">
        <f>CHIDIST(P33,L35)</f>
        <v>0.8972847644687202</v>
      </c>
      <c r="P36" s="58"/>
      <c r="Q36" s="58"/>
      <c r="R36" s="58"/>
      <c r="S36" s="58"/>
      <c r="T36" s="58"/>
    </row>
    <row r="37" spans="1:35" ht="12.75">
      <c r="A37" s="31"/>
      <c r="B37" s="31"/>
      <c r="C37" s="31"/>
      <c r="D37" s="31"/>
      <c r="E37" s="31"/>
      <c r="F37" s="31"/>
      <c r="G37" s="31"/>
      <c r="H37" s="31"/>
      <c r="I37" s="31"/>
      <c r="J37" s="58"/>
      <c r="K37" s="58"/>
      <c r="L37" s="58"/>
      <c r="M37" s="58"/>
      <c r="N37" s="77" t="s">
        <v>65</v>
      </c>
      <c r="O37" s="77"/>
      <c r="P37" s="58"/>
      <c r="Q37" s="58"/>
      <c r="R37" s="58"/>
      <c r="S37" s="58"/>
      <c r="T37" s="58"/>
      <c r="V37" s="18"/>
      <c r="W37" s="18"/>
      <c r="X37" s="18"/>
      <c r="Y37" s="18"/>
      <c r="Z37" s="18"/>
      <c r="AA37" s="18"/>
      <c r="AC37" s="18"/>
      <c r="AD37" s="18"/>
      <c r="AE37" s="18"/>
      <c r="AF37" s="18"/>
      <c r="AG37" s="18"/>
      <c r="AH37" s="18"/>
      <c r="AI37" s="18"/>
    </row>
    <row r="38" spans="1:35" ht="12.75">
      <c r="A38" s="31"/>
      <c r="B38" s="31"/>
      <c r="C38" s="31"/>
      <c r="D38" s="31"/>
      <c r="E38" s="31"/>
      <c r="F38" s="31"/>
      <c r="G38" s="31"/>
      <c r="H38" s="31"/>
      <c r="I38" s="31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V38" s="18"/>
      <c r="W38" s="18"/>
      <c r="X38" s="18"/>
      <c r="Y38" s="18"/>
      <c r="Z38" s="18"/>
      <c r="AA38" s="18"/>
      <c r="AC38" s="18"/>
      <c r="AD38" s="18"/>
      <c r="AE38" s="18"/>
      <c r="AF38" s="18"/>
      <c r="AG38" s="18"/>
      <c r="AH38" s="18"/>
      <c r="AI38" s="18"/>
    </row>
    <row r="39" spans="1:35" ht="12.75">
      <c r="A39" s="31"/>
      <c r="B39" s="31"/>
      <c r="C39" s="31"/>
      <c r="D39" s="31"/>
      <c r="E39" s="31"/>
      <c r="F39" s="31"/>
      <c r="G39" s="31"/>
      <c r="H39" s="31"/>
      <c r="I39" s="31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V39" s="18"/>
      <c r="W39" s="18"/>
      <c r="X39" s="18"/>
      <c r="Y39" s="18"/>
      <c r="Z39" s="18"/>
      <c r="AA39" s="18"/>
      <c r="AC39" s="18"/>
      <c r="AD39" s="18"/>
      <c r="AE39" s="18"/>
      <c r="AF39" s="18"/>
      <c r="AG39" s="18"/>
      <c r="AH39" s="18"/>
      <c r="AI39" s="18"/>
    </row>
    <row r="40" spans="2:35" ht="12.75">
      <c r="B40" s="24"/>
      <c r="C40" s="24"/>
      <c r="D40" s="24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V40" s="18"/>
      <c r="W40" s="18"/>
      <c r="X40" s="18"/>
      <c r="Y40" s="18"/>
      <c r="Z40" s="18"/>
      <c r="AA40" s="18"/>
      <c r="AC40" s="18"/>
      <c r="AD40" s="18"/>
      <c r="AE40" s="18"/>
      <c r="AF40" s="18"/>
      <c r="AG40" s="18"/>
      <c r="AH40" s="18"/>
      <c r="AI40" s="18"/>
    </row>
    <row r="41" spans="2:20" ht="12.75">
      <c r="B41" s="24"/>
      <c r="C41" s="24"/>
      <c r="D41" s="24"/>
      <c r="T41" s="29"/>
    </row>
    <row r="42" spans="2:20" ht="12.75">
      <c r="B42" s="24"/>
      <c r="C42" s="24"/>
      <c r="D42" s="24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</row>
    <row r="43" spans="2:20" ht="12.75">
      <c r="B43" s="24"/>
      <c r="C43" s="24"/>
      <c r="D43" s="24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</row>
    <row r="44" spans="2:20" ht="12.75">
      <c r="B44" s="24"/>
      <c r="C44" s="24"/>
      <c r="D44" s="24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</row>
    <row r="45" spans="2:20" ht="12.75">
      <c r="B45" s="24"/>
      <c r="C45" s="24"/>
      <c r="D45" s="24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</row>
    <row r="46" spans="2:20" ht="12.75">
      <c r="B46" s="24"/>
      <c r="C46" s="24"/>
      <c r="D46" s="24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</row>
    <row r="47" spans="2:20" ht="12.75">
      <c r="B47" s="24"/>
      <c r="C47" s="24"/>
      <c r="D47" s="24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</row>
    <row r="48" spans="2:20" ht="12.75">
      <c r="B48" s="24"/>
      <c r="C48" s="24"/>
      <c r="D48" s="24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</row>
    <row r="49" spans="2:20" ht="12.75">
      <c r="B49" s="24"/>
      <c r="C49" s="24"/>
      <c r="D49" s="24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</row>
    <row r="50" spans="2:20" ht="12.75">
      <c r="B50" s="24"/>
      <c r="C50" s="24"/>
      <c r="D50" s="24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</row>
    <row r="51" spans="2:20" ht="12.75">
      <c r="B51" s="24"/>
      <c r="C51" s="24"/>
      <c r="D51" s="24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</row>
    <row r="52" spans="2:20" ht="12.75">
      <c r="B52" s="24"/>
      <c r="C52" s="24"/>
      <c r="D52" s="24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</row>
    <row r="53" spans="10:20" ht="12.75"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</row>
    <row r="54" spans="10:20" ht="12.75"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</row>
    <row r="55" spans="10:20" ht="12.75"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</row>
    <row r="56" spans="10:20" ht="12.75"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Y43"/>
  <sheetViews>
    <sheetView zoomScale="82" zoomScaleNormal="82" zoomScalePageLayoutView="0" workbookViewId="0" topLeftCell="A1">
      <selection activeCell="AC8" sqref="AC8"/>
    </sheetView>
  </sheetViews>
  <sheetFormatPr defaultColWidth="9.140625" defaultRowHeight="12.75"/>
  <cols>
    <col min="1" max="1" width="1.8515625" style="0" customWidth="1"/>
    <col min="2" max="2" width="18.421875" style="0" customWidth="1"/>
    <col min="3" max="3" width="11.7109375" style="0" customWidth="1"/>
    <col min="4" max="4" width="13.57421875" style="0" customWidth="1"/>
    <col min="6" max="6" width="5.28125" style="0" customWidth="1"/>
    <col min="7" max="7" width="6.421875" style="0" customWidth="1"/>
    <col min="8" max="8" width="4.140625" style="0" customWidth="1"/>
    <col min="9" max="9" width="5.421875" style="0" customWidth="1"/>
    <col min="10" max="10" width="6.7109375" style="0" customWidth="1"/>
    <col min="11" max="11" width="1.8515625" style="0" customWidth="1"/>
    <col min="12" max="12" width="7.28125" style="0" customWidth="1"/>
    <col min="13" max="13" width="5.140625" style="0" customWidth="1"/>
    <col min="14" max="14" width="7.28125" style="0" customWidth="1"/>
    <col min="15" max="15" width="1.7109375" style="0" customWidth="1"/>
    <col min="18" max="18" width="7.140625" style="0" customWidth="1"/>
    <col min="19" max="19" width="5.28125" style="0" customWidth="1"/>
    <col min="20" max="20" width="5.421875" style="0" customWidth="1"/>
    <col min="22" max="22" width="6.57421875" style="0" customWidth="1"/>
    <col min="23" max="23" width="3.28125" style="0" customWidth="1"/>
    <col min="25" max="25" width="7.8515625" style="0" customWidth="1"/>
  </cols>
  <sheetData>
    <row r="1" ht="13.5" thickBot="1"/>
    <row r="2" spans="3:25" ht="12.75">
      <c r="C2" s="14" t="s">
        <v>92</v>
      </c>
      <c r="D2" s="14" t="s">
        <v>93</v>
      </c>
      <c r="T2" s="128" t="s">
        <v>112</v>
      </c>
      <c r="U2" s="129"/>
      <c r="V2" s="129"/>
      <c r="W2" s="129"/>
      <c r="X2" s="129"/>
      <c r="Y2" s="130"/>
    </row>
    <row r="3" spans="2:25" ht="12.75">
      <c r="B3" s="87" t="s">
        <v>97</v>
      </c>
      <c r="C3" s="116" t="s">
        <v>106</v>
      </c>
      <c r="D3" s="15"/>
      <c r="T3" s="92"/>
      <c r="U3" s="93"/>
      <c r="V3" s="93"/>
      <c r="W3" s="93"/>
      <c r="X3" s="93"/>
      <c r="Y3" s="95"/>
    </row>
    <row r="4" spans="2:25" ht="12.75">
      <c r="B4" s="86" t="s">
        <v>94</v>
      </c>
      <c r="C4" s="104">
        <v>12</v>
      </c>
      <c r="D4" s="104">
        <v>12</v>
      </c>
      <c r="T4" s="92"/>
      <c r="U4" s="93"/>
      <c r="V4" s="93"/>
      <c r="W4" s="93"/>
      <c r="X4" s="93"/>
      <c r="Y4" s="95"/>
    </row>
    <row r="5" spans="16:25" ht="12.75">
      <c r="P5" s="481"/>
      <c r="T5" s="92"/>
      <c r="U5" s="93"/>
      <c r="V5" s="93"/>
      <c r="W5" s="93"/>
      <c r="X5" s="93"/>
      <c r="Y5" s="95"/>
    </row>
    <row r="6" spans="2:25" ht="12.75">
      <c r="B6" s="87" t="s">
        <v>98</v>
      </c>
      <c r="C6" s="105">
        <v>78</v>
      </c>
      <c r="D6" s="106">
        <v>85</v>
      </c>
      <c r="H6" s="481"/>
      <c r="P6" s="481"/>
      <c r="T6" s="92"/>
      <c r="U6" s="93"/>
      <c r="V6" s="93"/>
      <c r="W6" s="93"/>
      <c r="X6" s="93"/>
      <c r="Y6" s="95"/>
    </row>
    <row r="7" spans="2:25" ht="12.75">
      <c r="B7" s="86" t="s">
        <v>95</v>
      </c>
      <c r="C7" s="105">
        <v>30</v>
      </c>
      <c r="D7" s="106">
        <v>25</v>
      </c>
      <c r="H7" s="481"/>
      <c r="T7" s="92"/>
      <c r="U7" s="93"/>
      <c r="V7" s="93"/>
      <c r="W7" s="93"/>
      <c r="X7" s="93"/>
      <c r="Y7" s="95"/>
    </row>
    <row r="8" spans="2:25" ht="12.75">
      <c r="B8" s="86" t="s">
        <v>96</v>
      </c>
      <c r="C8" s="107">
        <v>10</v>
      </c>
      <c r="D8" s="107">
        <v>15</v>
      </c>
      <c r="T8" s="92"/>
      <c r="U8" s="93"/>
      <c r="V8" s="93"/>
      <c r="W8" s="93"/>
      <c r="X8" s="93"/>
      <c r="Y8" s="95"/>
    </row>
    <row r="9" spans="2:25" ht="13.5" thickBot="1">
      <c r="B9" s="108"/>
      <c r="C9" s="3"/>
      <c r="D9" s="3"/>
      <c r="T9" s="92"/>
      <c r="U9" s="93"/>
      <c r="V9" s="93"/>
      <c r="W9" s="93"/>
      <c r="X9" s="93"/>
      <c r="Y9" s="95"/>
    </row>
    <row r="10" spans="2:25" ht="12.75">
      <c r="B10" s="109"/>
      <c r="C10" s="90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2"/>
      <c r="U10" s="93"/>
      <c r="V10" s="93"/>
      <c r="W10" s="93"/>
      <c r="X10" s="93"/>
      <c r="Y10" s="95"/>
    </row>
    <row r="11" spans="3:25" ht="12.75">
      <c r="C11" s="92"/>
      <c r="D11" s="93"/>
      <c r="E11" s="93"/>
      <c r="F11" s="93"/>
      <c r="G11" s="94" t="s">
        <v>102</v>
      </c>
      <c r="H11" s="93"/>
      <c r="I11" s="93"/>
      <c r="J11" s="93"/>
      <c r="K11" s="93"/>
      <c r="L11" s="94" t="s">
        <v>99</v>
      </c>
      <c r="M11" s="93"/>
      <c r="N11" s="93"/>
      <c r="O11" s="93"/>
      <c r="P11" s="112"/>
      <c r="Q11" s="93"/>
      <c r="R11" s="93"/>
      <c r="S11" s="93"/>
      <c r="T11" s="121"/>
      <c r="U11" s="26"/>
      <c r="V11" s="26"/>
      <c r="W11" s="26"/>
      <c r="X11" s="26"/>
      <c r="Y11" s="123" t="s">
        <v>107</v>
      </c>
    </row>
    <row r="12" spans="3:25" ht="13.5" thickBot="1">
      <c r="C12" s="92"/>
      <c r="D12" s="93"/>
      <c r="E12" s="93"/>
      <c r="F12" s="88"/>
      <c r="G12" s="89">
        <f>C6-D6</f>
        <v>-7</v>
      </c>
      <c r="H12" s="88"/>
      <c r="I12" s="93"/>
      <c r="J12" s="93"/>
      <c r="K12" s="88"/>
      <c r="L12" s="89">
        <f>G12</f>
        <v>-7</v>
      </c>
      <c r="M12" s="93"/>
      <c r="N12" s="93"/>
      <c r="O12" s="93"/>
      <c r="P12" s="93"/>
      <c r="Q12" s="93"/>
      <c r="R12" s="93"/>
      <c r="S12" s="93"/>
      <c r="T12" s="121"/>
      <c r="U12" s="117">
        <f>C8*C8</f>
        <v>100</v>
      </c>
      <c r="V12" s="26"/>
      <c r="W12" s="124" t="s">
        <v>101</v>
      </c>
      <c r="X12" s="117">
        <f>D8*D8</f>
        <v>225</v>
      </c>
      <c r="Y12" s="122"/>
    </row>
    <row r="13" spans="3:25" ht="18.75" thickBot="1">
      <c r="C13" s="92"/>
      <c r="D13" s="93"/>
      <c r="E13" s="96" t="s">
        <v>100</v>
      </c>
      <c r="F13" s="88"/>
      <c r="G13" s="88"/>
      <c r="H13" s="88"/>
      <c r="I13" s="88"/>
      <c r="J13" s="96" t="s">
        <v>100</v>
      </c>
      <c r="K13" s="88"/>
      <c r="L13" s="88"/>
      <c r="M13" s="96" t="s">
        <v>100</v>
      </c>
      <c r="N13" s="111">
        <f>L12/SQRT(L15)</f>
        <v>-2.154101092138323</v>
      </c>
      <c r="O13" s="93"/>
      <c r="P13" s="93"/>
      <c r="Q13" s="93"/>
      <c r="R13" s="115"/>
      <c r="S13" s="93"/>
      <c r="T13" s="121"/>
      <c r="U13" s="117">
        <f>C7</f>
        <v>30</v>
      </c>
      <c r="V13" s="118"/>
      <c r="W13" s="118"/>
      <c r="X13" s="117">
        <f>D7</f>
        <v>25</v>
      </c>
      <c r="Y13" s="125" t="s">
        <v>100</v>
      </c>
    </row>
    <row r="14" spans="3:25" ht="12.75">
      <c r="C14" s="92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 t="s">
        <v>37</v>
      </c>
      <c r="Q14" s="93"/>
      <c r="R14" s="115"/>
      <c r="S14" s="93"/>
      <c r="T14" s="121"/>
      <c r="U14" s="26"/>
      <c r="V14" s="26"/>
      <c r="W14" s="26"/>
      <c r="X14" s="26"/>
      <c r="Y14" s="122"/>
    </row>
    <row r="15" spans="3:25" ht="18">
      <c r="C15" s="92"/>
      <c r="D15" s="93"/>
      <c r="E15" s="93"/>
      <c r="F15" s="93"/>
      <c r="G15" s="103">
        <f>C4*C4</f>
        <v>144</v>
      </c>
      <c r="H15" s="96" t="s">
        <v>101</v>
      </c>
      <c r="I15" s="103">
        <f>D4*D4</f>
        <v>144</v>
      </c>
      <c r="J15" s="93"/>
      <c r="K15" s="93"/>
      <c r="L15" s="103">
        <f>G15/G17+I15/I17</f>
        <v>10.559999999999999</v>
      </c>
      <c r="M15" s="93"/>
      <c r="N15" s="93"/>
      <c r="O15" s="93"/>
      <c r="P15" s="114">
        <f>1-NORMDIST(N13,0,1,TRUE)</f>
        <v>0.9843838775392282</v>
      </c>
      <c r="Q15" s="93" t="s">
        <v>108</v>
      </c>
      <c r="R15" s="3"/>
      <c r="S15" s="112"/>
      <c r="T15" s="121"/>
      <c r="U15" s="117">
        <f>C8*C8</f>
        <v>100</v>
      </c>
      <c r="V15" s="126" t="s">
        <v>107</v>
      </c>
      <c r="W15" s="124" t="s">
        <v>101</v>
      </c>
      <c r="X15" s="117">
        <f>D8*D8</f>
        <v>225</v>
      </c>
      <c r="Y15" s="123" t="s">
        <v>107</v>
      </c>
    </row>
    <row r="16" spans="3:25" ht="12.75">
      <c r="C16" s="92"/>
      <c r="D16" s="93"/>
      <c r="E16" s="93"/>
      <c r="F16" s="93"/>
      <c r="G16" s="98"/>
      <c r="H16" s="98"/>
      <c r="I16" s="98"/>
      <c r="J16" s="93"/>
      <c r="K16" s="93"/>
      <c r="L16" s="98"/>
      <c r="M16" s="93"/>
      <c r="N16" s="93"/>
      <c r="O16" s="93"/>
      <c r="P16" s="93"/>
      <c r="Q16" s="93"/>
      <c r="R16" s="3"/>
      <c r="S16" s="93"/>
      <c r="T16" s="121"/>
      <c r="U16" s="124">
        <f>C7</f>
        <v>30</v>
      </c>
      <c r="V16" s="26"/>
      <c r="W16" s="26"/>
      <c r="X16" s="124">
        <f>D7</f>
        <v>25</v>
      </c>
      <c r="Y16" s="122"/>
    </row>
    <row r="17" spans="3:25" ht="18">
      <c r="C17" s="92"/>
      <c r="D17" s="93"/>
      <c r="E17" s="93"/>
      <c r="F17" s="93"/>
      <c r="G17" s="97">
        <f>C7</f>
        <v>30</v>
      </c>
      <c r="H17" s="98"/>
      <c r="I17" s="97">
        <f>D7</f>
        <v>25</v>
      </c>
      <c r="J17" s="93"/>
      <c r="K17" s="93"/>
      <c r="L17" s="93"/>
      <c r="M17" s="93"/>
      <c r="N17" s="93"/>
      <c r="O17" s="93"/>
      <c r="P17" s="93"/>
      <c r="Q17" s="93"/>
      <c r="R17" s="112"/>
      <c r="S17" s="93"/>
      <c r="T17" s="121"/>
      <c r="U17" s="117"/>
      <c r="V17" s="26"/>
      <c r="W17" s="26"/>
      <c r="X17" s="118"/>
      <c r="Y17" s="125"/>
    </row>
    <row r="18" spans="3:25" ht="12.75">
      <c r="C18" s="92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112"/>
      <c r="S18" s="93"/>
      <c r="T18" s="121"/>
      <c r="U18" s="124">
        <f>C7-1</f>
        <v>29</v>
      </c>
      <c r="V18" s="26"/>
      <c r="W18" s="26"/>
      <c r="X18" s="124">
        <f>D7-1</f>
        <v>24</v>
      </c>
      <c r="Y18" s="122"/>
    </row>
    <row r="19" spans="3:25" ht="12.75">
      <c r="C19" s="92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S19" s="93"/>
      <c r="T19" s="92"/>
      <c r="U19" s="98"/>
      <c r="V19" s="93"/>
      <c r="W19" s="93"/>
      <c r="X19" s="93"/>
      <c r="Y19" s="95"/>
    </row>
    <row r="20" spans="3:25" ht="13.5" thickBot="1">
      <c r="C20" s="99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92"/>
      <c r="U20" s="98"/>
      <c r="V20" s="93"/>
      <c r="W20" s="93"/>
      <c r="X20" s="93"/>
      <c r="Y20" s="95"/>
    </row>
    <row r="21" spans="3:25" ht="12.75">
      <c r="C21" s="90"/>
      <c r="D21" s="91"/>
      <c r="E21" s="91"/>
      <c r="F21" s="91"/>
      <c r="G21" s="113" t="s">
        <v>102</v>
      </c>
      <c r="H21" s="91"/>
      <c r="I21" s="91"/>
      <c r="J21" s="91"/>
      <c r="K21" s="91"/>
      <c r="L21" s="113" t="s">
        <v>99</v>
      </c>
      <c r="M21" s="91"/>
      <c r="N21" s="91"/>
      <c r="O21" s="91"/>
      <c r="P21" s="91"/>
      <c r="Q21" s="91"/>
      <c r="R21" s="91"/>
      <c r="S21" s="91"/>
      <c r="T21" s="121"/>
      <c r="U21" s="120"/>
      <c r="V21" s="117">
        <f>(U12/U13+X12/X13)^2</f>
        <v>152.11111111111111</v>
      </c>
      <c r="W21" s="118"/>
      <c r="X21" s="118"/>
      <c r="Y21" s="122"/>
    </row>
    <row r="22" spans="3:25" ht="13.5" thickBot="1">
      <c r="C22" s="92"/>
      <c r="D22" s="93"/>
      <c r="E22" s="93"/>
      <c r="F22" s="88"/>
      <c r="G22" s="89">
        <f>C6-D6</f>
        <v>-7</v>
      </c>
      <c r="H22" s="88"/>
      <c r="I22" s="88"/>
      <c r="J22" s="93"/>
      <c r="K22" s="88"/>
      <c r="L22" s="89">
        <f>G22</f>
        <v>-7</v>
      </c>
      <c r="M22" s="93"/>
      <c r="N22" s="93"/>
      <c r="O22" s="93"/>
      <c r="P22" s="108"/>
      <c r="Q22" s="108" t="s">
        <v>103</v>
      </c>
      <c r="R22" s="102">
        <f>MIN(C7-1,D7-1)</f>
        <v>24</v>
      </c>
      <c r="S22" s="3"/>
      <c r="T22" s="121"/>
      <c r="U22" s="26"/>
      <c r="V22" s="26"/>
      <c r="W22" s="26"/>
      <c r="X22" s="26"/>
      <c r="Y22" s="122"/>
    </row>
    <row r="23" spans="3:25" ht="18.75" thickBot="1">
      <c r="C23" s="92"/>
      <c r="D23" s="93"/>
      <c r="E23" s="96" t="s">
        <v>100</v>
      </c>
      <c r="F23" s="88"/>
      <c r="G23" s="88"/>
      <c r="H23" s="88"/>
      <c r="I23" s="88"/>
      <c r="J23" s="96" t="s">
        <v>100</v>
      </c>
      <c r="K23" s="88"/>
      <c r="L23" s="88"/>
      <c r="M23" s="96" t="s">
        <v>100</v>
      </c>
      <c r="N23" s="101">
        <f>L22/SQRT(L25)</f>
        <v>-1.9932317910802477</v>
      </c>
      <c r="O23" s="93"/>
      <c r="P23" s="93"/>
      <c r="Q23" s="110" t="s">
        <v>104</v>
      </c>
      <c r="R23" s="93"/>
      <c r="S23" s="93"/>
      <c r="T23" s="121"/>
      <c r="U23" s="117">
        <f>(C8*C8/C7)^2</f>
        <v>11.111111111111112</v>
      </c>
      <c r="V23" s="124"/>
      <c r="W23" s="124" t="s">
        <v>101</v>
      </c>
      <c r="X23" s="117">
        <f>(D8*D8/D7)^2</f>
        <v>81</v>
      </c>
      <c r="Y23" s="125" t="s">
        <v>100</v>
      </c>
    </row>
    <row r="24" spans="3:25" ht="12.75">
      <c r="C24" s="92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112" t="s">
        <v>105</v>
      </c>
      <c r="Q24" s="93"/>
      <c r="R24" s="93"/>
      <c r="S24" s="93"/>
      <c r="T24" s="121"/>
      <c r="U24" s="124">
        <f>U18</f>
        <v>29</v>
      </c>
      <c r="V24" s="124"/>
      <c r="W24" s="124"/>
      <c r="X24" s="124">
        <f>X18</f>
        <v>24</v>
      </c>
      <c r="Y24" s="122"/>
    </row>
    <row r="25" spans="3:25" ht="18">
      <c r="C25" s="92"/>
      <c r="D25" s="93"/>
      <c r="E25" s="93"/>
      <c r="F25" s="93"/>
      <c r="G25" s="102">
        <f>C8*C8</f>
        <v>100</v>
      </c>
      <c r="H25" s="96" t="s">
        <v>101</v>
      </c>
      <c r="I25" s="102">
        <f>D8*D8</f>
        <v>225</v>
      </c>
      <c r="J25" s="93"/>
      <c r="K25" s="93"/>
      <c r="L25" s="102">
        <f>G25/G27+I25/I27</f>
        <v>12.333333333333334</v>
      </c>
      <c r="M25" s="93"/>
      <c r="N25" s="93"/>
      <c r="O25" s="93"/>
      <c r="P25" s="101">
        <f>TDIST(ABS(N23),R22,1)</f>
        <v>0.028861351010891084</v>
      </c>
      <c r="Q25" s="93" t="s">
        <v>108</v>
      </c>
      <c r="R25" s="93"/>
      <c r="S25" s="93"/>
      <c r="T25" s="92"/>
      <c r="U25" s="98"/>
      <c r="V25" s="98"/>
      <c r="W25" s="98"/>
      <c r="X25" s="98"/>
      <c r="Y25" s="95"/>
    </row>
    <row r="26" spans="3:25" ht="18">
      <c r="C26" s="92"/>
      <c r="D26" s="3"/>
      <c r="E26" s="93"/>
      <c r="F26" s="93"/>
      <c r="G26" s="98"/>
      <c r="H26" s="98"/>
      <c r="I26" s="98"/>
      <c r="J26" s="93"/>
      <c r="K26" s="93"/>
      <c r="L26" s="98"/>
      <c r="M26" s="93"/>
      <c r="N26" s="93"/>
      <c r="O26" s="93"/>
      <c r="P26" s="115"/>
      <c r="Q26" s="93"/>
      <c r="S26" s="93"/>
      <c r="T26" s="92"/>
      <c r="U26" s="118">
        <f>V21</f>
        <v>152.11111111111111</v>
      </c>
      <c r="V26" s="119" t="s">
        <v>100</v>
      </c>
      <c r="W26" s="93"/>
      <c r="X26" s="26">
        <f>U26/U27</f>
        <v>40.47508602013508</v>
      </c>
      <c r="Y26" s="95"/>
    </row>
    <row r="27" spans="3:25" ht="12.75">
      <c r="C27" s="92"/>
      <c r="D27" s="93"/>
      <c r="E27" s="93"/>
      <c r="F27" s="93"/>
      <c r="G27" s="97">
        <f>C7</f>
        <v>30</v>
      </c>
      <c r="H27" s="98"/>
      <c r="I27" s="97">
        <f>D7</f>
        <v>25</v>
      </c>
      <c r="J27" s="93"/>
      <c r="K27" s="93"/>
      <c r="L27" s="93"/>
      <c r="M27" s="93"/>
      <c r="N27" s="93"/>
      <c r="O27" s="93"/>
      <c r="P27" s="115"/>
      <c r="Q27" s="93"/>
      <c r="S27" s="93"/>
      <c r="T27" s="92"/>
      <c r="U27" s="26">
        <f>U23/U24+X23/X24</f>
        <v>3.7581417624521074</v>
      </c>
      <c r="V27" s="3"/>
      <c r="W27" s="93"/>
      <c r="X27" s="93"/>
      <c r="Y27" s="95"/>
    </row>
    <row r="28" spans="3:25" ht="12.75">
      <c r="C28" s="92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2"/>
      <c r="U28" s="93"/>
      <c r="V28" s="93"/>
      <c r="W28" s="93" t="s">
        <v>109</v>
      </c>
      <c r="X28" s="93"/>
      <c r="Y28" s="95"/>
    </row>
    <row r="29" spans="3:25" ht="18.75" thickBot="1">
      <c r="C29" s="99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92"/>
      <c r="U29" s="127" t="s">
        <v>110</v>
      </c>
      <c r="V29" s="119" t="s">
        <v>100</v>
      </c>
      <c r="W29" s="93"/>
      <c r="X29" s="124">
        <f>ROUND(X26,0)</f>
        <v>40</v>
      </c>
      <c r="Y29" s="95"/>
    </row>
    <row r="30" spans="2:25" ht="12.75"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92"/>
      <c r="U30" s="127"/>
      <c r="V30" s="93"/>
      <c r="W30" s="93"/>
      <c r="X30" s="93"/>
      <c r="Y30" s="95"/>
    </row>
    <row r="31" spans="2:25" ht="14.25">
      <c r="B31" s="156"/>
      <c r="C31" s="83" t="s">
        <v>135</v>
      </c>
      <c r="D31" s="83"/>
      <c r="E31" s="83"/>
      <c r="F31" s="83"/>
      <c r="G31" s="83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92"/>
      <c r="U31" s="127" t="s">
        <v>37</v>
      </c>
      <c r="V31" s="26">
        <f>TDIST(ABS(N23),X29,1)</f>
        <v>0.026543870659823852</v>
      </c>
      <c r="W31" s="93" t="s">
        <v>111</v>
      </c>
      <c r="X31" s="93"/>
      <c r="Y31" s="95"/>
    </row>
    <row r="32" spans="2:25" ht="13.5" thickBot="1">
      <c r="B32" s="156"/>
      <c r="C32" s="83" t="s">
        <v>134</v>
      </c>
      <c r="D32" s="83"/>
      <c r="E32" s="83"/>
      <c r="F32" s="83"/>
      <c r="G32" s="83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99"/>
      <c r="U32" s="88" t="s">
        <v>133</v>
      </c>
      <c r="V32" s="168">
        <f>V31*2</f>
        <v>0.053087741319647705</v>
      </c>
      <c r="W32" s="88"/>
      <c r="X32" s="88"/>
      <c r="Y32" s="100"/>
    </row>
    <row r="33" spans="2:25" ht="12.75">
      <c r="B33" s="156"/>
      <c r="D33" s="83"/>
      <c r="E33" s="83"/>
      <c r="F33" s="83"/>
      <c r="G33" s="83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</row>
    <row r="34" spans="2:25" ht="12.75">
      <c r="B34" s="156"/>
      <c r="C34" s="83"/>
      <c r="D34" s="83"/>
      <c r="E34" s="83"/>
      <c r="F34" s="83"/>
      <c r="G34" s="83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</row>
    <row r="35" spans="2:20" ht="12.75">
      <c r="B35" s="156"/>
      <c r="C35" s="83"/>
      <c r="D35" s="83"/>
      <c r="E35" s="83"/>
      <c r="F35" s="83"/>
      <c r="G35" s="83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</row>
    <row r="36" spans="2:20" ht="12.75">
      <c r="B36" s="156"/>
      <c r="C36" s="83"/>
      <c r="D36" s="83"/>
      <c r="E36" s="83"/>
      <c r="F36" s="83"/>
      <c r="G36" s="83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</row>
    <row r="37" spans="2:20" ht="12.75"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</row>
    <row r="38" spans="2:20" ht="12.75"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</row>
    <row r="39" spans="2:20" ht="12.75"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</row>
    <row r="40" spans="2:20" ht="12.75"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</row>
    <row r="41" spans="2:25" ht="12.75"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</row>
    <row r="42" spans="2:25" ht="12.75"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</row>
    <row r="43" spans="2:25" ht="12.75"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</row>
  </sheetData>
  <sheetProtection/>
  <mergeCells count="2">
    <mergeCell ref="H6:H7"/>
    <mergeCell ref="P5:P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Z26"/>
  <sheetViews>
    <sheetView zoomScale="76" zoomScaleNormal="76" zoomScalePageLayoutView="0" workbookViewId="0" topLeftCell="A1">
      <selection activeCell="A2" sqref="A2:Z32"/>
    </sheetView>
  </sheetViews>
  <sheetFormatPr defaultColWidth="9.140625" defaultRowHeight="12.75"/>
  <cols>
    <col min="2" max="2" width="3.00390625" style="0" customWidth="1"/>
    <col min="5" max="5" width="13.421875" style="0" customWidth="1"/>
    <col min="6" max="6" width="15.421875" style="0" customWidth="1"/>
    <col min="7" max="7" width="5.7109375" style="0" customWidth="1"/>
    <col min="8" max="8" width="10.28125" style="0" customWidth="1"/>
    <col min="9" max="9" width="7.8515625" style="0" customWidth="1"/>
    <col min="10" max="10" width="1.8515625" style="0" customWidth="1"/>
    <col min="11" max="11" width="8.28125" style="0" customWidth="1"/>
    <col min="12" max="12" width="2.140625" style="0" customWidth="1"/>
    <col min="13" max="13" width="5.140625" style="0" customWidth="1"/>
    <col min="14" max="14" width="6.28125" style="0" customWidth="1"/>
    <col min="15" max="15" width="3.7109375" style="0" customWidth="1"/>
    <col min="16" max="16" width="2.7109375" style="0" customWidth="1"/>
    <col min="17" max="17" width="4.57421875" style="0" customWidth="1"/>
    <col min="18" max="18" width="1.421875" style="0" customWidth="1"/>
    <col min="20" max="20" width="1.28515625" style="0" customWidth="1"/>
    <col min="21" max="21" width="6.140625" style="0" customWidth="1"/>
    <col min="22" max="22" width="10.00390625" style="0" customWidth="1"/>
    <col min="23" max="23" width="8.7109375" style="0" customWidth="1"/>
    <col min="25" max="25" width="3.8515625" style="0" customWidth="1"/>
  </cols>
  <sheetData>
    <row r="3" spans="2:25" ht="19.5">
      <c r="B3" s="2"/>
      <c r="C3" s="152" t="s">
        <v>124</v>
      </c>
      <c r="D3" s="152" t="s">
        <v>125</v>
      </c>
      <c r="E3" s="152" t="s">
        <v>126</v>
      </c>
      <c r="F3" s="152" t="s">
        <v>127</v>
      </c>
      <c r="G3" s="144"/>
      <c r="H3" s="144"/>
      <c r="I3" s="481"/>
      <c r="K3" s="109"/>
      <c r="L3" s="131"/>
      <c r="R3" s="93"/>
      <c r="S3" s="137"/>
      <c r="T3" s="93"/>
      <c r="U3" s="93"/>
      <c r="V3" s="137"/>
      <c r="W3" s="137"/>
      <c r="X3" s="137"/>
      <c r="Y3" s="137"/>
    </row>
    <row r="4" spans="2:12" ht="15.75">
      <c r="B4" s="2">
        <v>1</v>
      </c>
      <c r="C4" s="155">
        <v>4</v>
      </c>
      <c r="D4" s="155">
        <v>2</v>
      </c>
      <c r="E4" s="146">
        <f aca="true" t="shared" si="0" ref="E4:E9">C4-D4</f>
        <v>2</v>
      </c>
      <c r="F4" s="146">
        <f aca="true" t="shared" si="1" ref="F4:F9">E4^2</f>
        <v>4</v>
      </c>
      <c r="G4" s="144"/>
      <c r="H4" s="144"/>
      <c r="I4" s="481"/>
      <c r="K4" s="109"/>
      <c r="L4" s="131"/>
    </row>
    <row r="5" spans="2:9" ht="15.75">
      <c r="B5" s="2">
        <v>2</v>
      </c>
      <c r="C5" s="155">
        <v>4</v>
      </c>
      <c r="D5" s="155">
        <v>2</v>
      </c>
      <c r="E5" s="146">
        <f t="shared" si="0"/>
        <v>2</v>
      </c>
      <c r="F5" s="146">
        <f t="shared" si="1"/>
        <v>4</v>
      </c>
      <c r="G5" s="144"/>
      <c r="H5" s="144"/>
      <c r="I5" s="131"/>
    </row>
    <row r="6" spans="2:9" ht="15.75">
      <c r="B6" s="2">
        <v>3</v>
      </c>
      <c r="C6" s="155">
        <v>0</v>
      </c>
      <c r="D6" s="155">
        <v>1</v>
      </c>
      <c r="E6" s="146">
        <f t="shared" si="0"/>
        <v>-1</v>
      </c>
      <c r="F6" s="146">
        <f t="shared" si="1"/>
        <v>1</v>
      </c>
      <c r="G6" s="144"/>
      <c r="H6" s="144"/>
      <c r="I6" s="131"/>
    </row>
    <row r="7" spans="2:13" ht="15.75">
      <c r="B7" s="2">
        <v>4</v>
      </c>
      <c r="C7" s="155">
        <v>14</v>
      </c>
      <c r="D7" s="155">
        <v>8</v>
      </c>
      <c r="E7" s="146">
        <f t="shared" si="0"/>
        <v>6</v>
      </c>
      <c r="F7" s="146">
        <f t="shared" si="1"/>
        <v>36</v>
      </c>
      <c r="G7" s="144"/>
      <c r="H7" s="144"/>
      <c r="I7" s="131"/>
      <c r="K7" s="115"/>
      <c r="L7" s="3"/>
      <c r="M7" s="3"/>
    </row>
    <row r="8" spans="2:13" ht="15.75">
      <c r="B8" s="2">
        <v>5</v>
      </c>
      <c r="C8" s="155">
        <v>8</v>
      </c>
      <c r="D8" s="155">
        <v>4</v>
      </c>
      <c r="E8" s="146">
        <f t="shared" si="0"/>
        <v>4</v>
      </c>
      <c r="F8" s="146">
        <f t="shared" si="1"/>
        <v>16</v>
      </c>
      <c r="G8" s="144"/>
      <c r="H8" s="144"/>
      <c r="I8" s="131"/>
      <c r="K8" s="3"/>
      <c r="L8" s="3"/>
      <c r="M8" s="3"/>
    </row>
    <row r="9" spans="2:13" ht="15.75">
      <c r="B9" s="2">
        <v>6</v>
      </c>
      <c r="C9" s="155">
        <v>5</v>
      </c>
      <c r="D9" s="155">
        <v>2</v>
      </c>
      <c r="E9" s="146">
        <f t="shared" si="0"/>
        <v>3</v>
      </c>
      <c r="F9" s="153">
        <f t="shared" si="1"/>
        <v>9</v>
      </c>
      <c r="G9" s="144"/>
      <c r="H9" s="144"/>
      <c r="I9" s="131"/>
      <c r="K9" s="3"/>
      <c r="L9" s="3"/>
      <c r="M9" s="3"/>
    </row>
    <row r="10" spans="2:9" ht="18">
      <c r="B10" s="2"/>
      <c r="C10" s="2"/>
      <c r="D10" s="2"/>
      <c r="E10" s="154" t="s">
        <v>128</v>
      </c>
      <c r="F10" s="146">
        <f>SUM(F4:F9)</f>
        <v>70</v>
      </c>
      <c r="G10" s="144"/>
      <c r="H10" s="144"/>
      <c r="I10" s="481"/>
    </row>
    <row r="11" spans="2:9" ht="16.5" thickBot="1">
      <c r="B11" s="2"/>
      <c r="C11" s="2"/>
      <c r="D11" s="154" t="s">
        <v>117</v>
      </c>
      <c r="E11" s="167">
        <f>SUM(E4:E9)</f>
        <v>16</v>
      </c>
      <c r="F11" s="2"/>
      <c r="G11" s="2"/>
      <c r="H11" s="2"/>
      <c r="I11" s="481"/>
    </row>
    <row r="12" spans="2:8" ht="15.75">
      <c r="B12" s="2"/>
      <c r="C12" s="2"/>
      <c r="D12" s="154" t="s">
        <v>39</v>
      </c>
      <c r="E12" s="166">
        <v>6</v>
      </c>
      <c r="F12" s="2"/>
      <c r="G12" s="2"/>
      <c r="H12" s="2"/>
    </row>
    <row r="13" spans="2:25" ht="15.75">
      <c r="B13" s="2"/>
      <c r="C13" s="2"/>
      <c r="D13" s="2"/>
      <c r="E13" s="2"/>
      <c r="F13" s="2"/>
      <c r="G13" s="93"/>
      <c r="H13" s="93"/>
      <c r="I13" s="93"/>
      <c r="J13" s="93"/>
      <c r="K13" s="94"/>
      <c r="L13" s="94"/>
      <c r="M13" s="93"/>
      <c r="N13" s="93"/>
      <c r="O13" s="93"/>
      <c r="P13" s="93"/>
      <c r="Q13" s="94"/>
      <c r="R13" s="93"/>
      <c r="S13" s="93"/>
      <c r="T13" s="93"/>
      <c r="U13" s="93"/>
      <c r="V13" s="93"/>
      <c r="W13" s="93"/>
      <c r="X13" s="93"/>
      <c r="Y13" s="93"/>
    </row>
    <row r="14" spans="2:20" ht="15.75">
      <c r="B14" s="2"/>
      <c r="C14" s="2"/>
      <c r="D14" s="154" t="s">
        <v>118</v>
      </c>
      <c r="E14" s="146">
        <f>E11/E12</f>
        <v>2.6666666666666665</v>
      </c>
      <c r="F14" s="2"/>
      <c r="G14" s="93"/>
      <c r="T14" s="18"/>
    </row>
    <row r="15" spans="7:22" ht="18.75" thickBot="1">
      <c r="G15" s="96" t="s">
        <v>129</v>
      </c>
      <c r="H15" s="88"/>
      <c r="I15" s="132"/>
      <c r="J15" s="132"/>
      <c r="K15" s="133">
        <f>E14</f>
        <v>2.6666666666666665</v>
      </c>
      <c r="L15" s="134"/>
      <c r="M15" s="135" t="s">
        <v>119</v>
      </c>
      <c r="N15" s="134">
        <v>0</v>
      </c>
      <c r="O15" s="134"/>
      <c r="P15" s="88"/>
      <c r="Q15" s="96" t="s">
        <v>100</v>
      </c>
      <c r="R15" s="88"/>
      <c r="S15" s="133">
        <f>K15</f>
        <v>2.6666666666666665</v>
      </c>
      <c r="T15" s="88"/>
      <c r="U15" s="147" t="s">
        <v>100</v>
      </c>
      <c r="V15" s="149">
        <f>S15/S16</f>
        <v>2.793721183078312</v>
      </c>
    </row>
    <row r="16" spans="7:20" ht="18.75" thickBot="1">
      <c r="G16" s="93"/>
      <c r="H16" s="157"/>
      <c r="I16" s="135"/>
      <c r="J16" s="132"/>
      <c r="K16" s="132"/>
      <c r="L16" s="132"/>
      <c r="M16" s="132"/>
      <c r="N16" s="132"/>
      <c r="O16" s="136"/>
      <c r="P16" s="88"/>
      <c r="R16" s="93"/>
      <c r="S16" s="150">
        <f>SQRT((I18*K18-N18*N18)/I20/K20)/SQRT(E12)</f>
        <v>0.9545214042184237</v>
      </c>
      <c r="T16" s="159"/>
    </row>
    <row r="17" spans="7:25" ht="15.75">
      <c r="G17" s="93"/>
      <c r="H17" s="93"/>
      <c r="I17" s="137"/>
      <c r="J17" s="137"/>
      <c r="K17" s="137"/>
      <c r="L17" s="137"/>
      <c r="M17" s="137"/>
      <c r="N17" s="137"/>
      <c r="O17" s="137"/>
      <c r="Q17" s="93"/>
      <c r="R17" s="93"/>
      <c r="U17" s="161"/>
      <c r="V17" s="162"/>
      <c r="W17" s="91"/>
      <c r="X17" s="91"/>
      <c r="Y17" s="164"/>
    </row>
    <row r="18" spans="6:26" ht="18.75" thickBot="1">
      <c r="F18" s="93"/>
      <c r="G18" s="93"/>
      <c r="H18" s="93"/>
      <c r="I18" s="138">
        <f>E12</f>
        <v>6</v>
      </c>
      <c r="J18" s="132" t="s">
        <v>120</v>
      </c>
      <c r="K18" s="133">
        <f>F10</f>
        <v>70</v>
      </c>
      <c r="L18" s="139" t="s">
        <v>121</v>
      </c>
      <c r="M18" s="135" t="s">
        <v>122</v>
      </c>
      <c r="N18" s="133">
        <f>E11</f>
        <v>16</v>
      </c>
      <c r="O18" s="140" t="s">
        <v>123</v>
      </c>
      <c r="Q18" s="93"/>
      <c r="R18" s="93"/>
      <c r="U18" s="163"/>
      <c r="V18" s="137"/>
      <c r="W18" s="151" t="s">
        <v>132</v>
      </c>
      <c r="X18" s="149">
        <f>V15</f>
        <v>2.793721183078312</v>
      </c>
      <c r="Y18" s="165"/>
      <c r="Z18" s="137"/>
    </row>
    <row r="19" spans="6:26" ht="15.75">
      <c r="F19" s="93"/>
      <c r="G19" s="93"/>
      <c r="H19" s="93"/>
      <c r="I19" s="137"/>
      <c r="J19" s="137"/>
      <c r="K19" s="141"/>
      <c r="L19" s="141"/>
      <c r="M19" s="141"/>
      <c r="N19" s="141"/>
      <c r="O19" s="141"/>
      <c r="Q19" s="93"/>
      <c r="R19" s="93"/>
      <c r="S19" s="141"/>
      <c r="T19" s="141"/>
      <c r="U19" s="163"/>
      <c r="V19" s="145"/>
      <c r="W19" s="145" t="s">
        <v>103</v>
      </c>
      <c r="X19" s="146">
        <f>E12-1</f>
        <v>5</v>
      </c>
      <c r="Y19" s="95"/>
      <c r="Z19" s="2"/>
    </row>
    <row r="20" spans="4:25" ht="15.75">
      <c r="D20" s="154" t="s">
        <v>131</v>
      </c>
      <c r="E20" s="160">
        <f>SQRT((I18*K18-N18*N18)/I20/K20)</f>
        <v>2.3380903889000244</v>
      </c>
      <c r="G20" s="93"/>
      <c r="H20" s="93"/>
      <c r="I20" s="142">
        <f>E12</f>
        <v>6</v>
      </c>
      <c r="J20" s="137" t="s">
        <v>120</v>
      </c>
      <c r="K20" s="143">
        <f>E12-1</f>
        <v>5</v>
      </c>
      <c r="L20" s="2" t="s">
        <v>121</v>
      </c>
      <c r="M20" s="2"/>
      <c r="N20" s="144"/>
      <c r="O20" s="144"/>
      <c r="P20" s="93"/>
      <c r="Q20" s="93"/>
      <c r="R20" s="93"/>
      <c r="S20" s="93"/>
      <c r="T20" s="93"/>
      <c r="U20" s="163"/>
      <c r="V20" s="137"/>
      <c r="W20" s="148"/>
      <c r="X20" s="137"/>
      <c r="Y20" s="95"/>
    </row>
    <row r="21" spans="6:25" ht="16.5" thickBot="1">
      <c r="F21" s="93"/>
      <c r="G21" s="93"/>
      <c r="H21" s="88"/>
      <c r="I21" s="132"/>
      <c r="J21" s="132"/>
      <c r="K21" s="132"/>
      <c r="L21" s="132"/>
      <c r="M21" s="132"/>
      <c r="N21" s="132"/>
      <c r="O21" s="132"/>
      <c r="P21" s="88"/>
      <c r="Q21" s="93"/>
      <c r="R21" s="93"/>
      <c r="S21" s="93"/>
      <c r="T21" s="93"/>
      <c r="U21" s="163"/>
      <c r="V21" s="151" t="s">
        <v>105</v>
      </c>
      <c r="W21" s="149">
        <f>TDIST(ABS(V15),X19,1)</f>
        <v>0.019138134464324934</v>
      </c>
      <c r="X21" s="137" t="s">
        <v>130</v>
      </c>
      <c r="Y21" s="95"/>
    </row>
    <row r="22" spans="6:26" ht="16.5" thickBot="1">
      <c r="F22" s="93"/>
      <c r="H22" s="93"/>
      <c r="I22" s="137"/>
      <c r="J22" s="137"/>
      <c r="K22" s="136"/>
      <c r="L22" s="137"/>
      <c r="M22" s="137"/>
      <c r="N22" s="137"/>
      <c r="O22" s="137"/>
      <c r="P22" s="93"/>
      <c r="Q22" s="93"/>
      <c r="R22" s="93"/>
      <c r="S22" s="93"/>
      <c r="T22" s="93"/>
      <c r="U22" s="99"/>
      <c r="V22" s="88"/>
      <c r="W22" s="88"/>
      <c r="X22" s="88"/>
      <c r="Y22" s="100"/>
      <c r="Z22" s="93"/>
    </row>
    <row r="23" ht="12.75">
      <c r="F23" s="93"/>
    </row>
    <row r="24" spans="6:11" ht="15.75">
      <c r="F24" s="93"/>
      <c r="G24" s="18"/>
      <c r="K24" s="158">
        <f>E12</f>
        <v>6</v>
      </c>
    </row>
    <row r="25" spans="6:26" ht="12.75">
      <c r="F25" s="93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ht="12.75">
      <c r="F26" s="93"/>
    </row>
  </sheetData>
  <sheetProtection/>
  <mergeCells count="2">
    <mergeCell ref="I3:I4"/>
    <mergeCell ref="I10:I1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Y32"/>
  <sheetViews>
    <sheetView zoomScalePageLayoutView="0" workbookViewId="0" topLeftCell="A1">
      <selection activeCell="W26" sqref="W26"/>
    </sheetView>
  </sheetViews>
  <sheetFormatPr defaultColWidth="9.140625" defaultRowHeight="12.75"/>
  <cols>
    <col min="1" max="1" width="7.7109375" style="5" customWidth="1"/>
    <col min="2" max="2" width="9.140625" style="5" customWidth="1"/>
    <col min="3" max="3" width="8.28125" style="5" customWidth="1"/>
    <col min="4" max="4" width="11.140625" style="5" customWidth="1"/>
    <col min="5" max="5" width="10.28125" style="5" customWidth="1"/>
    <col min="6" max="6" width="8.00390625" style="5" customWidth="1"/>
    <col min="7" max="8" width="9.140625" style="5" customWidth="1"/>
    <col min="9" max="9" width="8.140625" style="5" customWidth="1"/>
    <col min="10" max="10" width="2.57421875" style="5" customWidth="1"/>
    <col min="11" max="11" width="10.140625" style="5" customWidth="1"/>
    <col min="12" max="12" width="4.421875" style="5" customWidth="1"/>
    <col min="13" max="13" width="9.140625" style="5" customWidth="1"/>
    <col min="14" max="14" width="3.421875" style="5" customWidth="1"/>
    <col min="15" max="15" width="9.140625" style="5" customWidth="1"/>
    <col min="16" max="16" width="2.28125" style="5" customWidth="1"/>
    <col min="17" max="17" width="9.140625" style="5" customWidth="1"/>
    <col min="18" max="18" width="3.57421875" style="5" customWidth="1"/>
    <col min="19" max="19" width="9.140625" style="5" customWidth="1"/>
    <col min="20" max="20" width="9.00390625" style="5" customWidth="1"/>
    <col min="21" max="21" width="4.140625" style="5" customWidth="1"/>
    <col min="22" max="22" width="5.8515625" style="5" customWidth="1"/>
    <col min="23" max="23" width="11.00390625" style="5" customWidth="1"/>
    <col min="24" max="24" width="4.421875" style="5" customWidth="1"/>
    <col min="25" max="16384" width="9.140625" style="5" customWidth="1"/>
  </cols>
  <sheetData>
    <row r="2" spans="1:6" ht="18">
      <c r="A2" s="2"/>
      <c r="B2" s="152" t="s">
        <v>8</v>
      </c>
      <c r="C2" s="152" t="s">
        <v>156</v>
      </c>
      <c r="D2" s="152" t="s">
        <v>157</v>
      </c>
      <c r="E2" s="152" t="s">
        <v>158</v>
      </c>
      <c r="F2" s="152" t="s">
        <v>159</v>
      </c>
    </row>
    <row r="3" spans="1:8" ht="15.75">
      <c r="A3" s="2">
        <v>1</v>
      </c>
      <c r="B3" s="155">
        <v>2</v>
      </c>
      <c r="C3" s="155">
        <v>3</v>
      </c>
      <c r="D3" s="146">
        <f>B3*C3</f>
        <v>6</v>
      </c>
      <c r="E3" s="146">
        <f>B3*B3</f>
        <v>4</v>
      </c>
      <c r="F3" s="146">
        <f>C3*C3</f>
        <v>9</v>
      </c>
      <c r="H3" s="482"/>
    </row>
    <row r="4" spans="1:8" ht="15.75">
      <c r="A4" s="2">
        <v>2</v>
      </c>
      <c r="B4" s="155">
        <v>5</v>
      </c>
      <c r="C4" s="155">
        <v>8</v>
      </c>
      <c r="D4" s="146">
        <f aca="true" t="shared" si="0" ref="D4:D11">B4*C4</f>
        <v>40</v>
      </c>
      <c r="E4" s="146">
        <f aca="true" t="shared" si="1" ref="E4:E11">B4*B4</f>
        <v>25</v>
      </c>
      <c r="F4" s="146">
        <f aca="true" t="shared" si="2" ref="F4:F11">C4*C4</f>
        <v>64</v>
      </c>
      <c r="H4" s="482"/>
    </row>
    <row r="5" spans="1:6" ht="15.75">
      <c r="A5" s="2">
        <v>3</v>
      </c>
      <c r="B5" s="155">
        <f aca="true" t="shared" si="3" ref="B5:B12">B4+2</f>
        <v>7</v>
      </c>
      <c r="C5" s="155">
        <v>12</v>
      </c>
      <c r="D5" s="146">
        <f t="shared" si="0"/>
        <v>84</v>
      </c>
      <c r="E5" s="146">
        <f t="shared" si="1"/>
        <v>49</v>
      </c>
      <c r="F5" s="146">
        <f t="shared" si="2"/>
        <v>144</v>
      </c>
    </row>
    <row r="6" spans="1:15" ht="15.75">
      <c r="A6" s="2">
        <v>4</v>
      </c>
      <c r="B6" s="155">
        <f t="shared" si="3"/>
        <v>9</v>
      </c>
      <c r="C6" s="155">
        <v>11</v>
      </c>
      <c r="D6" s="146">
        <f t="shared" si="0"/>
        <v>99</v>
      </c>
      <c r="E6" s="146">
        <f t="shared" si="1"/>
        <v>81</v>
      </c>
      <c r="F6" s="146">
        <f t="shared" si="2"/>
        <v>121</v>
      </c>
      <c r="I6" s="5" t="s">
        <v>29</v>
      </c>
      <c r="K6" s="5" t="s">
        <v>162</v>
      </c>
      <c r="M6" s="5" t="s">
        <v>163</v>
      </c>
      <c r="O6" s="5" t="s">
        <v>164</v>
      </c>
    </row>
    <row r="7" spans="1:25" ht="18.75" thickBot="1">
      <c r="A7" s="2">
        <v>5</v>
      </c>
      <c r="B7" s="155">
        <f t="shared" si="3"/>
        <v>11</v>
      </c>
      <c r="C7" s="155">
        <v>11</v>
      </c>
      <c r="D7" s="146">
        <f t="shared" si="0"/>
        <v>121</v>
      </c>
      <c r="E7" s="146">
        <f t="shared" si="1"/>
        <v>121</v>
      </c>
      <c r="F7" s="146">
        <f t="shared" si="2"/>
        <v>121</v>
      </c>
      <c r="G7" s="154" t="s">
        <v>172</v>
      </c>
      <c r="H7" s="189"/>
      <c r="I7" s="201">
        <f>E15</f>
        <v>10</v>
      </c>
      <c r="J7" s="196" t="s">
        <v>161</v>
      </c>
      <c r="K7" s="201">
        <f>D13</f>
        <v>1452</v>
      </c>
      <c r="L7" s="199" t="s">
        <v>119</v>
      </c>
      <c r="M7" s="201">
        <f>B13</f>
        <v>119</v>
      </c>
      <c r="N7" s="196" t="s">
        <v>161</v>
      </c>
      <c r="O7" s="201">
        <f>C13</f>
        <v>109</v>
      </c>
      <c r="P7" s="202"/>
      <c r="Q7" s="202"/>
      <c r="R7" s="202"/>
      <c r="S7" s="202"/>
      <c r="T7" s="202"/>
      <c r="U7" s="189"/>
      <c r="V7" s="147" t="s">
        <v>100</v>
      </c>
      <c r="W7" s="167">
        <f>I7*K7-M7*O7</f>
        <v>1549</v>
      </c>
      <c r="X7" s="147" t="s">
        <v>100</v>
      </c>
      <c r="Y7" s="149">
        <f>W7/W8</f>
        <v>0.8096795844130817</v>
      </c>
    </row>
    <row r="8" spans="1:25" ht="16.5" thickBot="1">
      <c r="A8" s="2">
        <v>6</v>
      </c>
      <c r="B8" s="155">
        <f t="shared" si="3"/>
        <v>13</v>
      </c>
      <c r="C8" s="155">
        <v>12</v>
      </c>
      <c r="D8" s="146">
        <f t="shared" si="0"/>
        <v>156</v>
      </c>
      <c r="E8" s="146">
        <f t="shared" si="1"/>
        <v>169</v>
      </c>
      <c r="F8" s="146">
        <f t="shared" si="2"/>
        <v>144</v>
      </c>
      <c r="H8" s="189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W8" s="213">
        <f>SQRT((I10*K10-M10)*(O10*Q10-S10))</f>
        <v>1913.102454130463</v>
      </c>
      <c r="Y8" s="159"/>
    </row>
    <row r="9" spans="1:20" ht="15.75">
      <c r="A9" s="2">
        <v>7</v>
      </c>
      <c r="B9" s="155">
        <f t="shared" si="3"/>
        <v>15</v>
      </c>
      <c r="C9" s="155">
        <v>13</v>
      </c>
      <c r="D9" s="146">
        <f t="shared" si="0"/>
        <v>195</v>
      </c>
      <c r="E9" s="146">
        <f t="shared" si="1"/>
        <v>225</v>
      </c>
      <c r="F9" s="146">
        <f t="shared" si="2"/>
        <v>169</v>
      </c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</row>
    <row r="10" spans="1:20" ht="18">
      <c r="A10" s="4">
        <v>8</v>
      </c>
      <c r="B10" s="155">
        <f t="shared" si="3"/>
        <v>17</v>
      </c>
      <c r="C10" s="155">
        <v>11</v>
      </c>
      <c r="D10" s="146">
        <f t="shared" si="0"/>
        <v>187</v>
      </c>
      <c r="E10" s="146">
        <f t="shared" si="1"/>
        <v>289</v>
      </c>
      <c r="F10" s="146">
        <f t="shared" si="2"/>
        <v>121</v>
      </c>
      <c r="H10" s="197" t="s">
        <v>165</v>
      </c>
      <c r="I10" s="203">
        <f>E15</f>
        <v>10</v>
      </c>
      <c r="J10" s="204" t="s">
        <v>161</v>
      </c>
      <c r="K10" s="203">
        <f>E13</f>
        <v>1765</v>
      </c>
      <c r="L10" s="200" t="s">
        <v>119</v>
      </c>
      <c r="M10" s="203">
        <f>B13*B13</f>
        <v>14161</v>
      </c>
      <c r="N10" s="187" t="s">
        <v>166</v>
      </c>
      <c r="O10" s="203">
        <f>E15</f>
        <v>10</v>
      </c>
      <c r="P10" s="205" t="s">
        <v>161</v>
      </c>
      <c r="Q10" s="203">
        <f>F13</f>
        <v>1293</v>
      </c>
      <c r="R10" s="200" t="s">
        <v>119</v>
      </c>
      <c r="S10" s="203">
        <f>C13*C13</f>
        <v>11881</v>
      </c>
      <c r="T10" s="187" t="s">
        <v>167</v>
      </c>
    </row>
    <row r="11" spans="1:24" ht="18">
      <c r="A11" s="4">
        <v>9</v>
      </c>
      <c r="B11" s="155">
        <f t="shared" si="3"/>
        <v>19</v>
      </c>
      <c r="C11" s="155">
        <v>12</v>
      </c>
      <c r="D11" s="146">
        <f t="shared" si="0"/>
        <v>228</v>
      </c>
      <c r="E11" s="146">
        <f t="shared" si="1"/>
        <v>361</v>
      </c>
      <c r="F11" s="146">
        <f t="shared" si="2"/>
        <v>144</v>
      </c>
      <c r="G11" s="144"/>
      <c r="H11" s="482"/>
      <c r="I11" s="195" t="s">
        <v>29</v>
      </c>
      <c r="J11" s="184"/>
      <c r="K11" s="184" t="s">
        <v>168</v>
      </c>
      <c r="L11" s="195"/>
      <c r="M11" s="206" t="s">
        <v>169</v>
      </c>
      <c r="N11" s="195"/>
      <c r="O11" s="195" t="s">
        <v>29</v>
      </c>
      <c r="P11" s="195"/>
      <c r="Q11" s="187" t="s">
        <v>170</v>
      </c>
      <c r="R11" s="141"/>
      <c r="S11" s="206" t="s">
        <v>171</v>
      </c>
      <c r="T11" s="187"/>
      <c r="U11" s="137"/>
      <c r="V11" s="154" t="s">
        <v>179</v>
      </c>
      <c r="W11" s="214">
        <f>Y7*Y7*100</f>
        <v>65.55810294153407</v>
      </c>
      <c r="X11" s="137" t="s">
        <v>180</v>
      </c>
    </row>
    <row r="12" spans="1:11" ht="16.5" thickBot="1">
      <c r="A12" s="4">
        <v>10</v>
      </c>
      <c r="B12" s="155">
        <f t="shared" si="3"/>
        <v>21</v>
      </c>
      <c r="C12" s="155">
        <v>16</v>
      </c>
      <c r="D12" s="146">
        <f>B12*C12</f>
        <v>336</v>
      </c>
      <c r="E12" s="146">
        <f>B12*B12</f>
        <v>441</v>
      </c>
      <c r="F12" s="146">
        <f>C12*C12</f>
        <v>256</v>
      </c>
      <c r="G12" s="144"/>
      <c r="H12" s="482"/>
      <c r="J12" s="183"/>
      <c r="K12" s="184"/>
    </row>
    <row r="13" spans="1:21" ht="16.5" thickBot="1">
      <c r="A13" s="180" t="s">
        <v>160</v>
      </c>
      <c r="B13" s="181">
        <f>SUM(B3:B12)</f>
        <v>119</v>
      </c>
      <c r="C13" s="181">
        <f>SUM(C3:C12)</f>
        <v>109</v>
      </c>
      <c r="D13" s="181">
        <f>SUM(D3:D12)</f>
        <v>1452</v>
      </c>
      <c r="E13" s="181">
        <f>SUM(E3:E12)</f>
        <v>1765</v>
      </c>
      <c r="F13" s="182">
        <f>SUM(F3:F12)</f>
        <v>1293</v>
      </c>
      <c r="G13" s="144"/>
      <c r="H13" s="184"/>
      <c r="J13" s="202"/>
      <c r="K13" s="202"/>
      <c r="L13" s="202"/>
      <c r="M13" s="202"/>
      <c r="Q13" s="161"/>
      <c r="R13" s="162"/>
      <c r="S13" s="190"/>
      <c r="T13" s="190"/>
      <c r="U13" s="191"/>
    </row>
    <row r="14" spans="7:21" ht="15.75">
      <c r="G14" s="144"/>
      <c r="H14" s="184"/>
      <c r="Q14" s="163"/>
      <c r="R14" s="137"/>
      <c r="S14" s="151" t="s">
        <v>132</v>
      </c>
      <c r="T14" s="149">
        <f>O15</f>
        <v>3.902246055148936</v>
      </c>
      <c r="U14" s="165"/>
    </row>
    <row r="15" spans="4:21" ht="18.75" thickBot="1">
      <c r="D15" s="210" t="s">
        <v>39</v>
      </c>
      <c r="E15" s="198">
        <v>10</v>
      </c>
      <c r="G15" s="154" t="s">
        <v>173</v>
      </c>
      <c r="H15" s="146">
        <f>Y7</f>
        <v>0.8096795844130817</v>
      </c>
      <c r="J15" s="186"/>
      <c r="K15" s="167">
        <f>E15</f>
        <v>10</v>
      </c>
      <c r="L15" s="199" t="s">
        <v>176</v>
      </c>
      <c r="M15" s="202"/>
      <c r="N15" s="147" t="s">
        <v>100</v>
      </c>
      <c r="O15" s="149">
        <f>H15*SQRT((K15-2)/(1-M16))</f>
        <v>3.902246055148936</v>
      </c>
      <c r="Q15" s="163"/>
      <c r="R15" s="145"/>
      <c r="S15" s="145" t="s">
        <v>103</v>
      </c>
      <c r="T15" s="146">
        <f>E15-2</f>
        <v>8</v>
      </c>
      <c r="U15" s="192"/>
    </row>
    <row r="16" spans="7:21" ht="18">
      <c r="G16" s="144"/>
      <c r="H16" s="184"/>
      <c r="J16" s="186"/>
      <c r="K16" s="186"/>
      <c r="L16" s="200" t="s">
        <v>174</v>
      </c>
      <c r="M16" s="212">
        <f>H15*H15</f>
        <v>0.6555810294153408</v>
      </c>
      <c r="Q16" s="163"/>
      <c r="R16" s="137"/>
      <c r="S16" s="148"/>
      <c r="T16" s="137"/>
      <c r="U16" s="192"/>
    </row>
    <row r="17" spans="7:21" ht="15.75">
      <c r="G17" s="144"/>
      <c r="H17" s="184" t="s">
        <v>177</v>
      </c>
      <c r="J17" s="186"/>
      <c r="K17" s="184" t="s">
        <v>29</v>
      </c>
      <c r="L17" s="186"/>
      <c r="M17" s="195" t="s">
        <v>175</v>
      </c>
      <c r="Q17" s="163"/>
      <c r="R17" s="151" t="s">
        <v>105</v>
      </c>
      <c r="S17" s="149">
        <f>TDIST(ABS(T14),T15,1)</f>
        <v>0.0022651416605564373</v>
      </c>
      <c r="T17" s="137" t="s">
        <v>130</v>
      </c>
      <c r="U17" s="192"/>
    </row>
    <row r="18" spans="1:21" ht="16.5" thickBot="1">
      <c r="A18" s="2"/>
      <c r="F18" s="185"/>
      <c r="Q18" s="193"/>
      <c r="R18" s="189"/>
      <c r="S18" s="211">
        <f>S17*2</f>
        <v>0.0045302833211128745</v>
      </c>
      <c r="T18" s="132" t="s">
        <v>178</v>
      </c>
      <c r="U18" s="194"/>
    </row>
    <row r="19" spans="6:19" ht="15.75">
      <c r="F19" s="208"/>
      <c r="G19" s="186"/>
      <c r="H19" s="4"/>
      <c r="I19" s="4"/>
      <c r="J19" s="144"/>
      <c r="K19" s="144"/>
      <c r="L19" s="207"/>
      <c r="M19" s="144"/>
      <c r="N19" s="144"/>
      <c r="O19" s="186"/>
      <c r="P19" s="208"/>
      <c r="Q19" s="144"/>
      <c r="R19" s="207"/>
      <c r="S19" s="4"/>
    </row>
    <row r="20" spans="2:19" ht="15.75">
      <c r="B20" s="4"/>
      <c r="C20" s="4"/>
      <c r="D20" s="145"/>
      <c r="E20" s="144"/>
      <c r="F20" s="186"/>
      <c r="G20" s="208"/>
      <c r="H20" s="207"/>
      <c r="I20" s="4"/>
      <c r="J20" s="4"/>
      <c r="K20" s="4"/>
      <c r="L20" s="4"/>
      <c r="M20" s="4"/>
      <c r="N20" s="4"/>
      <c r="O20" s="186"/>
      <c r="P20" s="186"/>
      <c r="Q20" s="159"/>
      <c r="R20" s="186"/>
      <c r="S20" s="159"/>
    </row>
    <row r="21" spans="2:19" ht="15.75">
      <c r="B21" s="4"/>
      <c r="C21" s="145"/>
      <c r="D21" s="144"/>
      <c r="E21" s="4"/>
      <c r="F21" s="186"/>
      <c r="G21" s="186"/>
      <c r="H21" s="4"/>
      <c r="I21" s="4"/>
      <c r="J21" s="4"/>
      <c r="K21" s="4"/>
      <c r="L21" s="4"/>
      <c r="M21" s="4"/>
      <c r="N21" s="4"/>
      <c r="O21" s="186"/>
      <c r="P21" s="186"/>
      <c r="Q21" s="186"/>
      <c r="R21" s="186"/>
      <c r="S21" s="186"/>
    </row>
    <row r="22" spans="2:25" ht="18">
      <c r="B22" s="4"/>
      <c r="C22" s="145"/>
      <c r="D22" s="144"/>
      <c r="E22" s="4"/>
      <c r="F22" s="186"/>
      <c r="G22" s="186"/>
      <c r="H22" s="4"/>
      <c r="I22" s="4"/>
      <c r="J22" s="144"/>
      <c r="K22" s="148"/>
      <c r="L22" s="207"/>
      <c r="M22" s="144"/>
      <c r="N22" s="209"/>
      <c r="O22" s="186"/>
      <c r="P22" s="186"/>
      <c r="Q22" s="186"/>
      <c r="R22" s="186"/>
      <c r="S22" s="186"/>
      <c r="Y22" s="137"/>
    </row>
    <row r="23" spans="2:25" ht="15.75">
      <c r="B23" s="4"/>
      <c r="C23" s="4"/>
      <c r="D23" s="4"/>
      <c r="E23" s="4"/>
      <c r="F23" s="186"/>
      <c r="G23" s="186"/>
      <c r="H23" s="4"/>
      <c r="I23" s="4"/>
      <c r="J23" s="144"/>
      <c r="K23" s="144"/>
      <c r="L23" s="144"/>
      <c r="M23" s="144"/>
      <c r="N23" s="144"/>
      <c r="O23" s="186"/>
      <c r="P23" s="186"/>
      <c r="Q23" s="186"/>
      <c r="R23" s="186"/>
      <c r="S23" s="144"/>
      <c r="Y23" s="2"/>
    </row>
    <row r="24" spans="2:19" ht="15.75">
      <c r="B24" s="4"/>
      <c r="C24" s="145"/>
      <c r="D24" s="144"/>
      <c r="E24" s="4"/>
      <c r="F24" s="186"/>
      <c r="G24" s="186"/>
      <c r="H24" s="4"/>
      <c r="I24" s="4"/>
      <c r="J24" s="144"/>
      <c r="K24" s="4"/>
      <c r="L24" s="4"/>
      <c r="M24" s="144"/>
      <c r="N24" s="144"/>
      <c r="O24" s="186"/>
      <c r="P24" s="186"/>
      <c r="Q24" s="186"/>
      <c r="R24" s="186"/>
      <c r="S24" s="186"/>
    </row>
    <row r="25" spans="2:19" ht="15.75">
      <c r="B25" s="186"/>
      <c r="C25" s="186"/>
      <c r="D25" s="186"/>
      <c r="E25" s="186"/>
      <c r="F25" s="186"/>
      <c r="G25" s="186"/>
      <c r="H25" s="4"/>
      <c r="I25" s="4"/>
      <c r="J25" s="4"/>
      <c r="K25" s="4"/>
      <c r="L25" s="4"/>
      <c r="M25" s="4"/>
      <c r="N25" s="4"/>
      <c r="O25" s="186"/>
      <c r="P25" s="186"/>
      <c r="Q25" s="186"/>
      <c r="R25" s="186"/>
      <c r="S25" s="186"/>
    </row>
    <row r="26" spans="2:25" ht="15.75">
      <c r="B26" s="186"/>
      <c r="C26" s="186"/>
      <c r="D26" s="186"/>
      <c r="E26" s="186"/>
      <c r="F26" s="186"/>
      <c r="G26" s="186"/>
      <c r="H26" s="4"/>
      <c r="I26" s="4"/>
      <c r="J26" s="4"/>
      <c r="K26" s="4"/>
      <c r="L26" s="4"/>
      <c r="M26" s="4"/>
      <c r="N26" s="4"/>
      <c r="O26" s="186"/>
      <c r="P26" s="186"/>
      <c r="Q26" s="186"/>
      <c r="R26" s="186"/>
      <c r="S26" s="186"/>
      <c r="Y26" s="185"/>
    </row>
    <row r="27" spans="2:19" ht="15"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</row>
    <row r="28" spans="2:19" ht="15.75">
      <c r="B28" s="186"/>
      <c r="C28" s="186"/>
      <c r="D28" s="186"/>
      <c r="E28" s="186"/>
      <c r="F28" s="186"/>
      <c r="G28" s="186"/>
      <c r="H28" s="186"/>
      <c r="I28" s="186"/>
      <c r="J28" s="144"/>
      <c r="K28" s="186"/>
      <c r="L28" s="186"/>
      <c r="M28" s="186"/>
      <c r="N28" s="186"/>
      <c r="O28" s="186"/>
      <c r="P28" s="186"/>
      <c r="Q28" s="186"/>
      <c r="R28" s="186"/>
      <c r="S28" s="186"/>
    </row>
    <row r="29" spans="2:25" ht="15"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8"/>
      <c r="U29" s="188"/>
      <c r="V29" s="188"/>
      <c r="W29" s="188"/>
      <c r="X29" s="188"/>
      <c r="Y29" s="188"/>
    </row>
    <row r="30" spans="2:5" ht="15.75">
      <c r="B30" s="186"/>
      <c r="C30" s="145"/>
      <c r="D30" s="145"/>
      <c r="E30" s="186"/>
    </row>
    <row r="31" spans="2:5" ht="15">
      <c r="B31" s="186"/>
      <c r="C31" s="186"/>
      <c r="D31" s="186"/>
      <c r="E31" s="186"/>
    </row>
    <row r="32" s="215" customFormat="1" ht="15">
      <c r="E32" s="216"/>
    </row>
  </sheetData>
  <sheetProtection/>
  <mergeCells count="2">
    <mergeCell ref="H3:H4"/>
    <mergeCell ref="H11:H1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Micron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MI-WebMail--: "nov19'"</dc:title>
  <dc:subject/>
  <dc:creator>Agnes Azzolino</dc:creator>
  <cp:keywords/>
  <dc:description/>
  <cp:lastModifiedBy>User</cp:lastModifiedBy>
  <cp:lastPrinted>2009-12-06T18:16:22Z</cp:lastPrinted>
  <dcterms:created xsi:type="dcterms:W3CDTF">2001-09-02T11:59:18Z</dcterms:created>
  <dcterms:modified xsi:type="dcterms:W3CDTF">2012-07-12T12:20:11Z</dcterms:modified>
  <cp:category/>
  <cp:version/>
  <cp:contentType/>
  <cp:contentStatus/>
</cp:coreProperties>
</file>